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9660" windowHeight="5070" firstSheet="1" activeTab="3"/>
  </bookViews>
  <sheets>
    <sheet name="Работы 19,82 " sheetId="1" r:id="rId1"/>
    <sheet name="Работы 21,11" sheetId="2" r:id="rId2"/>
    <sheet name="Работы 24,08" sheetId="3" r:id="rId3"/>
    <sheet name="Работы 18,16" sheetId="4" r:id="rId4"/>
    <sheet name="Ресурсы" sheetId="5" r:id="rId5"/>
    <sheet name="Отчет о совместимости" sheetId="6" r:id="rId6"/>
    <sheet name="магазин" sheetId="7" r:id="rId7"/>
  </sheets>
  <definedNames>
    <definedName name="_xlnm.Print_Titles" localSheetId="6">'магазин'!$4:$4</definedName>
    <definedName name="_xlnm.Print_Titles" localSheetId="3">'Работы 18,16'!$4:$4</definedName>
    <definedName name="_xlnm.Print_Titles" localSheetId="0">'Работы 19,82 '!$3:$3</definedName>
    <definedName name="_xlnm.Print_Titles" localSheetId="1">'Работы 21,11'!$3:$3</definedName>
    <definedName name="_xlnm.Print_Titles" localSheetId="2">'Работы 24,08'!$3:$3</definedName>
    <definedName name="_xlnm.Print_Titles" localSheetId="4">'Ресурсы'!$3:$3</definedName>
  </definedNames>
  <calcPr fullCalcOnLoad="1"/>
</workbook>
</file>

<file path=xl/sharedStrings.xml><?xml version="1.0" encoding="utf-8"?>
<sst xmlns="http://schemas.openxmlformats.org/spreadsheetml/2006/main" count="1174" uniqueCount="282">
  <si>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</si>
  <si>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</si>
  <si>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</si>
  <si>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</si>
  <si>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</si>
  <si>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</si>
  <si>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</si>
  <si>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</si>
  <si>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</si>
  <si>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</si>
  <si>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</si>
  <si>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</si>
  <si>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Внутридомовое инженерное оборудование и технические устройства</t>
  </si>
  <si>
    <t>Устранение засоров внутренних канализационных трубопроводов</t>
  </si>
  <si>
    <t>100 м трубы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</si>
  <si>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</si>
  <si>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</si>
  <si>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</si>
  <si>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внутренней отделки стен</t>
  </si>
  <si>
    <t>Осмотр всех элементов рулонных кровель, водостоков</t>
  </si>
  <si>
    <t>1000 кв.м. кровли</t>
  </si>
  <si>
    <t>Прочистка канализационного лежака</t>
  </si>
  <si>
    <t>100 м канализационного лежака</t>
  </si>
  <si>
    <t>Осмотр  электросети, арматуры, электрооборудования на лестничных клетках</t>
  </si>
  <si>
    <t>100 лестничных площадок</t>
  </si>
  <si>
    <t>Проверка изоляции электропроводки и ее укрепление</t>
  </si>
  <si>
    <t>100 м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</si>
  <si>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</si>
  <si>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</si>
  <si>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</si>
  <si>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</si>
  <si>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</si>
  <si>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Регулировка и наладка систем отопления</t>
  </si>
  <si>
    <t>1 здание</t>
  </si>
  <si>
    <t>Рабочая проверка системы в целом при диаметре трубопровода до 50 мм</t>
  </si>
  <si>
    <t>100 м трубопровода</t>
  </si>
  <si>
    <t>Рабочая проверка системы в целом при диаметре трубопровода до 100 мм</t>
  </si>
  <si>
    <t>Проверка на прогрев отопительных приборов с регулировкой</t>
  </si>
  <si>
    <t>100 приборов</t>
  </si>
  <si>
    <t>1 прибор учета</t>
  </si>
  <si>
    <t>Проверка работоспособности запорной арматуры и очистка фильтров приборов учета воды диаметром 50-250 мм</t>
  </si>
  <si>
    <t>1 фильтр</t>
  </si>
  <si>
    <t>Запуск воды с общего вентиля к счетчику (прибор учета воды диаметром 50-250 мм)</t>
  </si>
  <si>
    <t>1 узел учета</t>
  </si>
  <si>
    <t>Проверка работоспособности запорной арматуры и очистка фильтра (узел учета тепловой энергии диаметром 50-250 мм)</t>
  </si>
  <si>
    <t>Запуск воды с общего вентиля к счетчику (узел учета тепловой энергии диаметром 50-250 мм)</t>
  </si>
  <si>
    <t>Устранение аварии на внутридомовых инженерных сетях при сроке эксплуатации многоквартирного дома до 10 лет</t>
  </si>
  <si>
    <t>1000 м2  общей площади жилых помещений, не оборудованных газовыми плитами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</si>
  <si>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</si>
  <si>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</si>
  <si>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100 м2  убираемой  площади</t>
  </si>
  <si>
    <t>100 м2 убираемой  площади</t>
  </si>
  <si>
    <t>Подметание кабин лифтов  с предварительным их увлажнением  (в доме с лифтами без мусоропроводов)</t>
  </si>
  <si>
    <t>100 м2  лифтов</t>
  </si>
  <si>
    <t>Протирка пыли  с колпаков  светильников (в подвалах, на чердаках и лестничных клетках)</t>
  </si>
  <si>
    <t>100 шт.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</si>
  <si>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</si>
  <si>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</si>
  <si>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</si>
  <si>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</si>
  <si>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легкодоступных стекол в окнах  в помещениях общего пользования</t>
  </si>
  <si>
    <t>100 м2 окон</t>
  </si>
  <si>
    <t>Подметание  чердаков и подвалов без предварительного увлажнения</t>
  </si>
  <si>
    <t>100 м2 чердаков и подвалов</t>
  </si>
  <si>
    <t>100 кв.м почтовых ящиков</t>
  </si>
  <si>
    <t>100 кв. м шкафов для электросчетчиков слаботочных устройств</t>
  </si>
  <si>
    <t>100 кв.м. перил лестниц</t>
  </si>
  <si>
    <t>100 кв. м отопительных приборов</t>
  </si>
  <si>
    <t>Подметание в летний период  земельного участка с усовершенствованным покрытием 2 класса</t>
  </si>
  <si>
    <t>1 000 кв.м. территории</t>
  </si>
  <si>
    <t>Уборка газонов средней засоренности от листьев, сучьев, мусора</t>
  </si>
  <si>
    <t>100 000 кв.м. территории</t>
  </si>
  <si>
    <t>Стрижка газонов</t>
  </si>
  <si>
    <t>на 100 кв.м.</t>
  </si>
  <si>
    <t>Очистка урн от мусора</t>
  </si>
  <si>
    <t>на 100 урн</t>
  </si>
  <si>
    <t>Уборка детских и спортивных площадок</t>
  </si>
  <si>
    <t>1000 кв.м.</t>
  </si>
  <si>
    <t>Сдвижка и подметание снега при отсутствии снегопада на придомовой территории с усовершенствованным покрытием 2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</si>
  <si>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</si>
  <si>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2 класса</t>
  </si>
  <si>
    <t>Посыпка территории II класса</t>
  </si>
  <si>
    <t>100 кв. м</t>
  </si>
  <si>
    <t>Транспортировка смеси песка с хлоридами от места складирования к месту посыпки</t>
  </si>
  <si>
    <t>1 куб.м</t>
  </si>
  <si>
    <t>Сдвигание свежевыпавшего снега толщиной слоя свыше 2 см в валы или кучи трактором</t>
  </si>
  <si>
    <t>1000 м2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</si>
  <si>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</si>
  <si>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</si>
  <si>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</si>
  <si>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</si>
  <si>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</si>
  <si>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Погрузка мусора на автотранспорт вручную</t>
  </si>
  <si>
    <t>100 куб.м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</si>
  <si>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</si>
  <si>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</si>
  <si>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</si>
  <si>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</si>
  <si>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</si>
  <si>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</si>
  <si>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</si>
  <si>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</si>
  <si>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</si>
  <si>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</si>
  <si>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</si>
  <si>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</si>
  <si>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</si>
  <si>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</si>
  <si>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Дворник 1 разряда</t>
  </si>
  <si>
    <t>чел.-час</t>
  </si>
  <si>
    <t>Каменщик 3 разряда</t>
  </si>
  <si>
    <t>Кровельщик по рулонным кровлям и по кровлям из штучных материалов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</si>
  <si>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</si>
  <si>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</si>
  <si>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Наладчик контрольно-измерительных приборов и автоматики 4 разряда</t>
  </si>
  <si>
    <t>Наладчик контрольно-измерительных приборов и автоматики 5 разряда</t>
  </si>
  <si>
    <t>Наладчик контрольно-измерительных приборов и автоматики 7 разряда</t>
  </si>
  <si>
    <t>Подсобный рабочий 1 разряда</t>
  </si>
  <si>
    <t>Рабочий зеленого хозяйства 3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</si>
  <si>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</si>
  <si>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</si>
  <si>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</si>
  <si>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</si>
  <si>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</si>
  <si>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</si>
  <si>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</si>
  <si>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</si>
  <si>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Стеклопротирщик 2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</si>
  <si>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</si>
  <si>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</si>
  <si>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</si>
  <si>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</si>
  <si>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</si>
  <si>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</si>
  <si>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Бензин авиационный Б-70</t>
  </si>
  <si>
    <t>т</t>
  </si>
  <si>
    <t>Болты с гайками и шайбами для санитарно-технических работ, диаметром 16 мм</t>
  </si>
  <si>
    <t>Ветошь</t>
  </si>
  <si>
    <t>кг</t>
  </si>
  <si>
    <t>Вода водопроводная</t>
  </si>
  <si>
    <t>м3</t>
  </si>
  <si>
    <t>Краски масляные земляные  МА-0115: мумия, сурик  железный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</si>
  <si>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</si>
  <si>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</si>
  <si>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>Мешки полиэтиленовые, 60 л</t>
  </si>
  <si>
    <t>1000 шт.</t>
  </si>
  <si>
    <t>Моющее средство</t>
  </si>
  <si>
    <t>Мыло</t>
  </si>
  <si>
    <t>Мыло твердое хозяйственное 72%</t>
  </si>
  <si>
    <t>шт.</t>
  </si>
  <si>
    <t>Олифа комбинированная К-3</t>
  </si>
  <si>
    <t>Очес льняной</t>
  </si>
  <si>
    <t>Пескосоляная смесь</t>
  </si>
  <si>
    <t>Резина листовая вулканизованная цветная</t>
  </si>
  <si>
    <t>Ткань мешочная</t>
  </si>
  <si>
    <t>10 м2</t>
  </si>
  <si>
    <t>Специнвентарь</t>
  </si>
  <si>
    <t>Ведро  оцинкованное, 12 л</t>
  </si>
  <si>
    <t xml:space="preserve">Веник обыкновенный </t>
  </si>
  <si>
    <t>Грабли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</si>
  <si>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</si>
  <si>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</si>
  <si>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</si>
  <si>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</si>
  <si>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</si>
  <si>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</si>
  <si>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</si>
  <si>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Щетка д/пола 280 мм с черенком на резьбе 1,2 м.</t>
  </si>
  <si>
    <t xml:space="preserve">Щетка для мытья окон </t>
  </si>
  <si>
    <t>Машины/Механизмы</t>
  </si>
  <si>
    <t>Газонокосилка</t>
  </si>
  <si>
    <t>маш.-час</t>
  </si>
  <si>
    <t>Трактор (до 100 л.с.)</t>
  </si>
  <si>
    <t>Стоимость в м-ц</t>
  </si>
  <si>
    <t>Стоимость, м2</t>
  </si>
  <si>
    <t>Услуги специализированных организаций</t>
  </si>
  <si>
    <t>Вывоз ТБО</t>
  </si>
  <si>
    <t>Вывоз КГМ</t>
  </si>
  <si>
    <t>Обслуживание противопожарной сигнализации</t>
  </si>
  <si>
    <t>Проведение технических осмотров и устранение незначительных неисправностей в системе вентиляции</t>
  </si>
  <si>
    <t>Отчет о совместимости для smeta12126 (4).xls</t>
  </si>
  <si>
    <t>Дата отчета: 04.04.2016 2:56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</si>
  <si>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</si>
  <si>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</si>
  <si>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</si>
  <si>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</si>
  <si>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</si>
  <si>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</si>
  <si>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Перечень обязательных работ и услуг по содержанию и ремонту общего имущества собственников помещений</t>
  </si>
  <si>
    <t xml:space="preserve">Tехническое и аварийное обслуживание подъемно-транспортного оборудования и диспечерской связи  </t>
  </si>
  <si>
    <t xml:space="preserve">Tехническое освидетельствование подъемно-транспортного оборудования </t>
  </si>
  <si>
    <t xml:space="preserve">Регистрационный учет граждан </t>
  </si>
  <si>
    <t>в месяц</t>
  </si>
  <si>
    <t>дворник</t>
  </si>
  <si>
    <t>слесаря</t>
  </si>
  <si>
    <t>электрик</t>
  </si>
  <si>
    <t>мастер</t>
  </si>
  <si>
    <t xml:space="preserve">Влажная протирка почтовых ящиков </t>
  </si>
  <si>
    <t xml:space="preserve">Влажная протирка шкафов для электросчетчиков слаботочных устройств  </t>
  </si>
  <si>
    <t>Влажная протирка перил лестниц</t>
  </si>
  <si>
    <t xml:space="preserve">Влажная протирка отопительных приборов </t>
  </si>
  <si>
    <t xml:space="preserve">Обслуживание домафонного оборудования с квартиры </t>
  </si>
  <si>
    <t>Обслуживание антенного оборудования с квартиры</t>
  </si>
  <si>
    <t>Съем данных с тепловычислителя с помощью переносного компьютера, адаптера  (узел учета тепловой энергии диаметром 50-250 мм)</t>
  </si>
  <si>
    <t>Перео-дичность работ</t>
  </si>
  <si>
    <t>2 раза в год</t>
  </si>
  <si>
    <t>4 раза в год</t>
  </si>
  <si>
    <t>1 раз в год</t>
  </si>
  <si>
    <t>1 раз в месяц</t>
  </si>
  <si>
    <t>Обсчет данных, оформление справок, распечатка архивов данных приборов учета</t>
  </si>
  <si>
    <t>3 раза в неделю</t>
  </si>
  <si>
    <t>3 раза в неделю ( апрель - октябрь)</t>
  </si>
  <si>
    <t>2 раза в неделю (апрель - октябрь)</t>
  </si>
  <si>
    <t>1 раз в год (зимний период)</t>
  </si>
  <si>
    <t>1 раз в месяц                (май -сентябрь)</t>
  </si>
  <si>
    <t>согласно договора (круглосуточно)</t>
  </si>
  <si>
    <t>раз в год</t>
  </si>
  <si>
    <t>согласно договора (ежедневно)</t>
  </si>
  <si>
    <t>По мере необходимости но не более 5 раз в зимний период</t>
  </si>
  <si>
    <t>По мере необходимости но не более 8 раз в год</t>
  </si>
  <si>
    <t>Снятие и запись показаний с вычислителя в журнал (приборов учета холодной воды диаметром 50-250 мм)</t>
  </si>
  <si>
    <t>1раза в год</t>
  </si>
  <si>
    <t>1 раза в год</t>
  </si>
  <si>
    <t>1 светильник</t>
  </si>
  <si>
    <t>в течении года</t>
  </si>
  <si>
    <t>Стоимость в год, руб.</t>
  </si>
  <si>
    <t>ежемесячно</t>
  </si>
  <si>
    <t>Дератизация, дезинсекция чердаков и подвалов</t>
  </si>
  <si>
    <t xml:space="preserve">дератизация - 4 рвза в год; дезинсекция - по мере необходимости </t>
  </si>
  <si>
    <t>3 раза в неделю                      ( зимний период)</t>
  </si>
  <si>
    <t>3 раза в неделю                            ( летний период)</t>
  </si>
  <si>
    <t>3 раза в неделю                           ( зимний период)</t>
  </si>
  <si>
    <t>3 раза в неделю                        ( летний период)</t>
  </si>
  <si>
    <t xml:space="preserve">Обслуживание антенного  домафонного оборудования </t>
  </si>
  <si>
    <t>Обслуживание домафонного оборудования с квартиры при отсутствии переговорно устройства (трубки) в квартире</t>
  </si>
  <si>
    <t>согласно договора (ежемесячно)</t>
  </si>
  <si>
    <t>По мере необходимости но не более 10 раз в зимний период</t>
  </si>
  <si>
    <t xml:space="preserve">Приложение № 2 к договору  "Управления многоквартирным домом" расположенного по адресу: г. Липецк, ул. А.Г. Стаханова, д. №  67
      </t>
  </si>
  <si>
    <t>Влажная протирка пожарных шкафов</t>
  </si>
  <si>
    <t>100 кв.м шкафов</t>
  </si>
  <si>
    <t>подметание ежедневно; Мытье 1 раз в неделю</t>
  </si>
  <si>
    <t>Подметание1 раз в неделю; Мытье 1 раз в месяц</t>
  </si>
  <si>
    <t>Подметание межквартирные лестничные площадки, коридоры, лифтовые холлы первого этажа с предварительным их увлажнением (в доме с лифтами без мусоропроводов)</t>
  </si>
  <si>
    <t>Подметание межквартирные лестничные площадки, коридоры, лифтовые холлы выше первого этажа с предварительным их увлажнением (в доме с лифтами без мусоропроводов)</t>
  </si>
  <si>
    <t>Теплообменник (водонагреватель)  поверхностью нагрева  до 10 кв.м</t>
  </si>
  <si>
    <t>1  теплообменник (бойлер)</t>
  </si>
  <si>
    <t>Теплообменник (водонагреватель)  поверхностью нагрева  до 25 кв.м</t>
  </si>
  <si>
    <t>100 счетчиков</t>
  </si>
  <si>
    <t>Ведение счетов, начисление квартплаты, печать и разноска квитанций</t>
  </si>
  <si>
    <t>Снятие показаний трехфазных счетчиков электроэнергии</t>
  </si>
  <si>
    <t>По мере необходимости но не более 20 раз в зимний период</t>
  </si>
  <si>
    <t>ежедневно</t>
  </si>
  <si>
    <t>ежедневно                           ( летний период)</t>
  </si>
  <si>
    <t>По мере необходимости но не более 8 раз в зимний период</t>
  </si>
  <si>
    <t>2 раз в год (зимний период)</t>
  </si>
  <si>
    <t>По мере необходимости но не более 25 раз в зимний период</t>
  </si>
  <si>
    <t>2 раза в месяц                (май -сентябрь)</t>
  </si>
  <si>
    <t>Подметание 2 раз в неделю; Мытье 1 раз в месяц</t>
  </si>
  <si>
    <t>2  раза в год</t>
  </si>
  <si>
    <t>3 раза в неделю (апрель - октябрь)</t>
  </si>
  <si>
    <t>По мере необходимости но не более 10 раз в год</t>
  </si>
  <si>
    <t>Обметание пыли с потолков</t>
  </si>
  <si>
    <t>100 кв. м. потолков</t>
  </si>
  <si>
    <t xml:space="preserve">По мере необходимости </t>
  </si>
  <si>
    <t>Проверка, настройка теплосчетчика - поиск неисправностей (узел учета тепловой энергии диаметром 50-250 мм)</t>
  </si>
  <si>
    <t xml:space="preserve">Поверка метрологическая, ремонт 1 прибора учета </t>
  </si>
  <si>
    <t>Ремонт светильника с люминесцентными лампами, замена ламп</t>
  </si>
  <si>
    <t>1  раз в год</t>
  </si>
  <si>
    <t>Подметание 1 раз в неделю; Мытье 1 раз в месяц</t>
  </si>
  <si>
    <t xml:space="preserve">Перечень услуг и работ, условия их оказания и выполнения, а также размер их финансирования  утверждены решением общего собрания собственников помещений. </t>
  </si>
  <si>
    <t xml:space="preserve">Приложение № 2 
      </t>
  </si>
  <si>
    <t>к договору  управления многоквартиртирным  домом № 67 по ул. А.Г. Стаханова г. Липецка</t>
  </si>
  <si>
    <t>Завоз песка в песочницу</t>
  </si>
  <si>
    <t>ежедневно в рабочии дни</t>
  </si>
  <si>
    <t>По мере необходимости  зимний период</t>
  </si>
  <si>
    <t xml:space="preserve">Осмотр  электросети, арматуры, электрооборудования </t>
  </si>
  <si>
    <t>Проверка работоспособности запорной арматуры и очистка фильтров приборов учета воды диаметром до 50мм</t>
  </si>
  <si>
    <t>Снятие и запись показаний с вычислителя в журнал (приборов учета холодной воды диаметром до 50 мм)</t>
  </si>
  <si>
    <t>Запуск воды с общего вентиля к счетчику (прибор учета воды диаметром до 50 мм)</t>
  </si>
  <si>
    <t>1000 м2  общей площади  помещений, не оборудованных газовыми плитами</t>
  </si>
  <si>
    <t xml:space="preserve">Ведение счетов, начисление , печать </t>
  </si>
  <si>
    <t>По мере необходимости но не более 5 раз в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</si>
</sst>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9"/>
      <color indexed="8"/>
      <name val="Arial"/>
      <family val="2"/>
    </font>
    <font>
      <b/>
      <sz val="14"/>
      <color indexed="16"/>
      <name val="Arial"/>
      <family val="2"/>
    </font>
    <font>
      <b/>
      <sz val="11"/>
      <color indexed="16"/>
      <name val="Arial"/>
      <family val="2"/>
    </font>
    <font>
      <b/>
      <sz val="18"/>
      <color indexed="17"/>
      <name val="Courier"/>
      <family val="1"/>
    </font>
    <font>
      <b/>
      <sz val="10"/>
      <color indexed="9"/>
      <name val="Courier"/>
      <family val="1"/>
    </font>
    <font>
      <b/>
      <sz val="12"/>
      <color indexed="17"/>
      <name val="Courier"/>
      <family val="1"/>
    </font>
    <font>
      <b/>
      <sz val="9"/>
      <color indexed="17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9"/>
      <color indexed="53"/>
      <name val="Arial"/>
      <family val="2"/>
    </font>
    <font>
      <sz val="9"/>
      <color indexed="21"/>
      <name val="Arial"/>
      <family val="2"/>
    </font>
    <font>
      <sz val="9"/>
      <color indexed="56"/>
      <name val="Arial"/>
      <family val="2"/>
    </font>
    <font>
      <sz val="10"/>
      <color indexed="34"/>
      <name val="Arial"/>
      <family val="2"/>
    </font>
    <font>
      <sz val="9"/>
      <color indexed="34"/>
      <name val="Arial"/>
      <family val="2"/>
    </font>
    <font>
      <b/>
      <sz val="11"/>
      <color indexed="21"/>
      <name val="Arial"/>
      <family val="2"/>
    </font>
    <font>
      <b/>
      <sz val="9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2060"/>
      <name val="Arial"/>
      <family val="2"/>
    </font>
    <font>
      <sz val="10"/>
      <color rgb="FFFFFF00"/>
      <name val="Arial"/>
      <family val="2"/>
    </font>
    <font>
      <sz val="9"/>
      <color rgb="FFFFFF00"/>
      <name val="Arial"/>
      <family val="2"/>
    </font>
    <font>
      <b/>
      <sz val="11"/>
      <color rgb="FF00B050"/>
      <name val="Arial"/>
      <family val="2"/>
    </font>
    <font>
      <b/>
      <sz val="9"/>
      <color rgb="FF00B05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9"/>
      </right>
      <top style="thick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8"/>
      </top>
      <bottom>
        <color indexed="63"/>
      </bottom>
    </border>
    <border>
      <left style="thin">
        <color indexed="9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6">
    <xf numFmtId="0" fontId="0" fillId="0" borderId="0" xfId="0" applyFill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4" fontId="6" fillId="0" borderId="0" xfId="0" applyNumberFormat="1" applyFont="1" applyFill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right" vertical="center" wrapText="1"/>
      <protection/>
    </xf>
    <xf numFmtId="4" fontId="0" fillId="0" borderId="15" xfId="0" applyNumberForma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NumberFormat="1" applyFill="1" applyAlignment="1" applyProtection="1">
      <alignment horizontal="left" vertical="top" wrapText="1"/>
      <protection/>
    </xf>
    <xf numFmtId="0" fontId="0" fillId="0" borderId="16" xfId="0" applyNumberFormat="1" applyFill="1" applyBorder="1" applyAlignment="1" applyProtection="1">
      <alignment horizontal="left" vertical="top" wrapText="1"/>
      <protection/>
    </xf>
    <xf numFmtId="0" fontId="0" fillId="0" borderId="17" xfId="0" applyNumberForma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17" xfId="0" applyNumberFormat="1" applyFill="1" applyBorder="1" applyAlignment="1" applyProtection="1">
      <alignment horizontal="center" vertical="top" wrapText="1"/>
      <protection/>
    </xf>
    <xf numFmtId="0" fontId="0" fillId="0" borderId="18" xfId="0" applyNumberFormat="1" applyFill="1" applyBorder="1" applyAlignment="1" applyProtection="1">
      <alignment horizontal="center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horizontal="right" vertical="center" wrapText="1"/>
      <protection/>
    </xf>
    <xf numFmtId="4" fontId="15" fillId="0" borderId="10" xfId="0" applyNumberFormat="1" applyFont="1" applyFill="1" applyBorder="1" applyAlignment="1" applyProtection="1">
      <alignment horizontal="left" vertical="center" wrapText="1"/>
      <protection/>
    </xf>
    <xf numFmtId="4" fontId="11" fillId="34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ill="1" applyBorder="1" applyAlignment="1" applyProtection="1">
      <alignment horizontal="right" vertical="center" wrapText="1"/>
      <protection/>
    </xf>
    <xf numFmtId="4" fontId="0" fillId="0" borderId="22" xfId="0" applyNumberFormat="1" applyFill="1" applyBorder="1" applyAlignment="1" applyProtection="1">
      <alignment horizontal="right" vertical="center" wrapText="1"/>
      <protection/>
    </xf>
    <xf numFmtId="4" fontId="1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35" borderId="24" xfId="0" applyFill="1" applyBorder="1" applyAlignment="1" applyProtection="1">
      <alignment horizontal="left" vertical="center" wrapText="1"/>
      <protection/>
    </xf>
    <xf numFmtId="0" fontId="0" fillId="35" borderId="0" xfId="0" applyFill="1" applyAlignment="1" applyProtection="1">
      <alignment horizontal="left" vertical="center" wrapText="1"/>
      <protection/>
    </xf>
    <xf numFmtId="0" fontId="61" fillId="0" borderId="0" xfId="0" applyFont="1" applyFill="1" applyAlignment="1" applyProtection="1">
      <alignment horizontal="left" vertical="center" wrapText="1"/>
      <protection/>
    </xf>
    <xf numFmtId="0" fontId="0" fillId="36" borderId="0" xfId="0" applyFill="1" applyAlignment="1" applyProtection="1">
      <alignment horizontal="left" vertical="center" wrapText="1"/>
      <protection/>
    </xf>
    <xf numFmtId="0" fontId="62" fillId="0" borderId="0" xfId="0" applyFont="1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4" fontId="10" fillId="0" borderId="24" xfId="0" applyNumberFormat="1" applyFont="1" applyFill="1" applyBorder="1" applyAlignment="1" applyProtection="1">
      <alignment horizontal="right" vertical="center" wrapText="1"/>
      <protection/>
    </xf>
    <xf numFmtId="0" fontId="63" fillId="0" borderId="0" xfId="0" applyFont="1" applyFill="1" applyAlignment="1" applyProtection="1">
      <alignment horizontal="left" vertical="center" wrapText="1"/>
      <protection/>
    </xf>
    <xf numFmtId="0" fontId="15" fillId="37" borderId="10" xfId="0" applyFont="1" applyFill="1" applyBorder="1" applyAlignment="1" applyProtection="1">
      <alignment horizontal="left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4" fontId="15" fillId="37" borderId="10" xfId="0" applyNumberFormat="1" applyFont="1" applyFill="1" applyBorder="1" applyAlignment="1" applyProtection="1">
      <alignment horizontal="right" vertical="center" wrapText="1"/>
      <protection/>
    </xf>
    <xf numFmtId="4" fontId="15" fillId="37" borderId="10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Fill="1" applyAlignment="1" applyProtection="1">
      <alignment horizontal="left" vertical="center" wrapText="1"/>
      <protection/>
    </xf>
    <xf numFmtId="0" fontId="15" fillId="37" borderId="25" xfId="0" applyFont="1" applyFill="1" applyBorder="1" applyAlignment="1" applyProtection="1">
      <alignment horizontal="left" vertical="center" wrapText="1"/>
      <protection/>
    </xf>
    <xf numFmtId="4" fontId="15" fillId="37" borderId="25" xfId="0" applyNumberFormat="1" applyFont="1" applyFill="1" applyBorder="1" applyAlignment="1" applyProtection="1">
      <alignment horizontal="left" vertical="center" wrapText="1"/>
      <protection/>
    </xf>
    <xf numFmtId="2" fontId="15" fillId="35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" fontId="15" fillId="0" borderId="0" xfId="0" applyNumberFormat="1" applyFont="1" applyFill="1" applyBorder="1" applyAlignment="1" applyProtection="1">
      <alignment horizontal="left" vertical="center" wrapText="1"/>
      <protection/>
    </xf>
    <xf numFmtId="4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2" fontId="15" fillId="37" borderId="0" xfId="0" applyNumberFormat="1" applyFont="1" applyFill="1" applyBorder="1" applyAlignment="1" applyProtection="1">
      <alignment horizontal="right" vertical="center" wrapText="1"/>
      <protection/>
    </xf>
    <xf numFmtId="0" fontId="15" fillId="37" borderId="25" xfId="0" applyFont="1" applyFill="1" applyBorder="1" applyAlignment="1" applyProtection="1">
      <alignment horizontal="center" vertical="center" wrapText="1"/>
      <protection/>
    </xf>
    <xf numFmtId="0" fontId="15" fillId="35" borderId="26" xfId="0" applyFont="1" applyFill="1" applyBorder="1" applyAlignment="1" applyProtection="1">
      <alignment horizontal="left" vertical="center" wrapText="1"/>
      <protection/>
    </xf>
    <xf numFmtId="0" fontId="15" fillId="35" borderId="22" xfId="0" applyFont="1" applyFill="1" applyBorder="1" applyAlignment="1" applyProtection="1">
      <alignment horizontal="right" vertical="center" wrapText="1"/>
      <protection/>
    </xf>
    <xf numFmtId="0" fontId="15" fillId="35" borderId="27" xfId="0" applyFont="1" applyFill="1" applyBorder="1" applyAlignment="1" applyProtection="1">
      <alignment horizontal="right" vertical="center" wrapText="1"/>
      <protection/>
    </xf>
    <xf numFmtId="0" fontId="15" fillId="0" borderId="28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2" fillId="38" borderId="29" xfId="0" applyFont="1" applyFill="1" applyBorder="1" applyAlignment="1" applyProtection="1">
      <alignment horizontal="center" vertical="center" wrapText="1"/>
      <protection/>
    </xf>
    <xf numFmtId="0" fontId="2" fillId="38" borderId="30" xfId="0" applyFont="1" applyFill="1" applyBorder="1" applyAlignment="1" applyProtection="1">
      <alignment horizontal="center" vertical="center" wrapText="1"/>
      <protection/>
    </xf>
    <xf numFmtId="0" fontId="2" fillId="38" borderId="31" xfId="0" applyFont="1" applyFill="1" applyBorder="1" applyAlignment="1" applyProtection="1">
      <alignment horizontal="center" vertical="center" wrapText="1"/>
      <protection/>
    </xf>
    <xf numFmtId="0" fontId="64" fillId="39" borderId="32" xfId="0" applyFont="1" applyFill="1" applyBorder="1" applyAlignment="1" applyProtection="1">
      <alignment horizontal="center" vertical="center" wrapText="1"/>
      <protection/>
    </xf>
    <xf numFmtId="0" fontId="64" fillId="39" borderId="33" xfId="0" applyFont="1" applyFill="1" applyBorder="1" applyAlignment="1" applyProtection="1">
      <alignment horizontal="center" vertical="center" wrapText="1"/>
      <protection/>
    </xf>
    <xf numFmtId="0" fontId="65" fillId="39" borderId="32" xfId="0" applyFont="1" applyFill="1" applyBorder="1" applyAlignment="1" applyProtection="1">
      <alignment horizontal="center" vertical="center" wrapText="1"/>
      <protection/>
    </xf>
    <xf numFmtId="4" fontId="11" fillId="40" borderId="34" xfId="0" applyNumberFormat="1" applyFont="1" applyFill="1" applyBorder="1" applyAlignment="1" applyProtection="1">
      <alignment horizontal="right" vertical="center" wrapText="1"/>
      <protection/>
    </xf>
    <xf numFmtId="0" fontId="0" fillId="35" borderId="34" xfId="0" applyFill="1" applyBorder="1" applyAlignment="1" applyProtection="1">
      <alignment horizontal="left" vertical="center" wrapText="1"/>
      <protection/>
    </xf>
    <xf numFmtId="0" fontId="15" fillId="35" borderId="35" xfId="0" applyFont="1" applyFill="1" applyBorder="1" applyAlignment="1" applyProtection="1">
      <alignment horizontal="left" vertical="center" wrapText="1"/>
      <protection/>
    </xf>
    <xf numFmtId="0" fontId="15" fillId="35" borderId="36" xfId="0" applyFont="1" applyFill="1" applyBorder="1" applyAlignment="1" applyProtection="1">
      <alignment horizontal="left" vertical="center" wrapText="1"/>
      <protection/>
    </xf>
    <xf numFmtId="0" fontId="0" fillId="35" borderId="37" xfId="0" applyFont="1" applyFill="1" applyBorder="1" applyAlignment="1" applyProtection="1">
      <alignment horizontal="center" vertical="center" wrapText="1"/>
      <protection/>
    </xf>
    <xf numFmtId="0" fontId="15" fillId="35" borderId="38" xfId="0" applyFont="1" applyFill="1" applyBorder="1" applyAlignment="1" applyProtection="1">
      <alignment horizontal="left" vertical="center" wrapText="1"/>
      <protection/>
    </xf>
    <xf numFmtId="0" fontId="0" fillId="35" borderId="39" xfId="0" applyFont="1" applyFill="1" applyBorder="1" applyAlignment="1" applyProtection="1">
      <alignment horizontal="center" vertical="center" wrapText="1"/>
      <protection/>
    </xf>
    <xf numFmtId="0" fontId="15" fillId="35" borderId="40" xfId="0" applyFont="1" applyFill="1" applyBorder="1" applyAlignment="1" applyProtection="1">
      <alignment horizontal="left" vertical="center" wrapText="1"/>
      <protection/>
    </xf>
    <xf numFmtId="0" fontId="15" fillId="35" borderId="41" xfId="0" applyFont="1" applyFill="1" applyBorder="1" applyAlignment="1" applyProtection="1">
      <alignment horizontal="left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0" fontId="15" fillId="37" borderId="28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4" fontId="11" fillId="41" borderId="43" xfId="0" applyNumberFormat="1" applyFont="1" applyFill="1" applyBorder="1" applyAlignment="1" applyProtection="1">
      <alignment horizontal="right" vertical="center" wrapText="1"/>
      <protection/>
    </xf>
    <xf numFmtId="4" fontId="11" fillId="41" borderId="44" xfId="0" applyNumberFormat="1" applyFont="1" applyFill="1" applyBorder="1" applyAlignment="1" applyProtection="1">
      <alignment horizontal="right" vertical="center" wrapText="1"/>
      <protection/>
    </xf>
    <xf numFmtId="4" fontId="11" fillId="41" borderId="45" xfId="0" applyNumberFormat="1" applyFont="1" applyFill="1" applyBorder="1" applyAlignment="1" applyProtection="1">
      <alignment horizontal="right" vertical="center" wrapText="1"/>
      <protection/>
    </xf>
    <xf numFmtId="4" fontId="11" fillId="41" borderId="46" xfId="0" applyNumberFormat="1" applyFont="1" applyFill="1" applyBorder="1" applyAlignment="1" applyProtection="1">
      <alignment horizontal="right" vertical="center" wrapText="1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4" fontId="15" fillId="0" borderId="48" xfId="0" applyNumberFormat="1" applyFont="1" applyFill="1" applyBorder="1" applyAlignment="1" applyProtection="1">
      <alignment horizontal="right" vertical="center" wrapText="1"/>
      <protection/>
    </xf>
    <xf numFmtId="4" fontId="15" fillId="0" borderId="49" xfId="0" applyNumberFormat="1" applyFont="1" applyFill="1" applyBorder="1" applyAlignment="1" applyProtection="1">
      <alignment horizontal="right" vertical="center" wrapTex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4" fontId="15" fillId="37" borderId="50" xfId="0" applyNumberFormat="1" applyFont="1" applyFill="1" applyBorder="1" applyAlignment="1" applyProtection="1">
      <alignment horizontal="right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4" fontId="15" fillId="0" borderId="50" xfId="0" applyNumberFormat="1" applyFont="1" applyFill="1" applyBorder="1" applyAlignment="1" applyProtection="1">
      <alignment horizontal="right" vertical="center" wrapText="1"/>
      <protection/>
    </xf>
    <xf numFmtId="4" fontId="0" fillId="0" borderId="50" xfId="0" applyNumberFormat="1" applyFill="1" applyBorder="1" applyAlignment="1" applyProtection="1">
      <alignment horizontal="right" vertical="center" wrapText="1"/>
      <protection/>
    </xf>
    <xf numFmtId="0" fontId="15" fillId="0" borderId="51" xfId="0" applyFont="1" applyFill="1" applyBorder="1" applyAlignment="1" applyProtection="1">
      <alignment horizontal="left" vertical="center" wrapText="1"/>
      <protection/>
    </xf>
    <xf numFmtId="0" fontId="15" fillId="0" borderId="52" xfId="0" applyFont="1" applyFill="1" applyBorder="1" applyAlignment="1" applyProtection="1">
      <alignment horizontal="left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4" fontId="15" fillId="0" borderId="52" xfId="0" applyNumberFormat="1" applyFont="1" applyFill="1" applyBorder="1" applyAlignment="1" applyProtection="1">
      <alignment horizontal="right" vertical="center" wrapText="1"/>
      <protection/>
    </xf>
    <xf numFmtId="4" fontId="15" fillId="0" borderId="53" xfId="0" applyNumberFormat="1" applyFont="1" applyFill="1" applyBorder="1" applyAlignment="1" applyProtection="1">
      <alignment horizontal="right" vertical="center" wrapText="1"/>
      <protection/>
    </xf>
    <xf numFmtId="0" fontId="15" fillId="35" borderId="54" xfId="0" applyFont="1" applyFill="1" applyBorder="1" applyAlignment="1" applyProtection="1">
      <alignment horizontal="right" vertical="center" wrapText="1"/>
      <protection/>
    </xf>
    <xf numFmtId="0" fontId="15" fillId="35" borderId="55" xfId="0" applyFont="1" applyFill="1" applyBorder="1" applyAlignment="1" applyProtection="1">
      <alignment horizontal="right" vertical="center" wrapText="1"/>
      <protection/>
    </xf>
    <xf numFmtId="0" fontId="15" fillId="35" borderId="56" xfId="0" applyFont="1" applyFill="1" applyBorder="1" applyAlignment="1" applyProtection="1">
      <alignment horizontal="right" vertical="center" wrapText="1"/>
      <protection/>
    </xf>
    <xf numFmtId="0" fontId="0" fillId="35" borderId="39" xfId="0" applyFont="1" applyFill="1" applyBorder="1" applyAlignment="1" applyProtection="1">
      <alignment horizontal="left" vertical="center" wrapText="1"/>
      <protection/>
    </xf>
    <xf numFmtId="0" fontId="15" fillId="35" borderId="57" xfId="0" applyFont="1" applyFill="1" applyBorder="1" applyAlignment="1" applyProtection="1">
      <alignment horizontal="right" vertical="center" wrapText="1"/>
      <protection/>
    </xf>
    <xf numFmtId="0" fontId="15" fillId="35" borderId="58" xfId="0" applyFont="1" applyFill="1" applyBorder="1" applyAlignment="1" applyProtection="1">
      <alignment horizontal="right" vertical="center" wrapText="1"/>
      <protection/>
    </xf>
    <xf numFmtId="4" fontId="11" fillId="40" borderId="59" xfId="0" applyNumberFormat="1" applyFont="1" applyFill="1" applyBorder="1" applyAlignment="1" applyProtection="1">
      <alignment horizontal="left" vertical="center" wrapText="1"/>
      <protection/>
    </xf>
    <xf numFmtId="4" fontId="11" fillId="40" borderId="60" xfId="0" applyNumberFormat="1" applyFont="1" applyFill="1" applyBorder="1" applyAlignment="1" applyProtection="1">
      <alignment horizontal="left" vertical="center" wrapText="1"/>
      <protection/>
    </xf>
    <xf numFmtId="4" fontId="11" fillId="34" borderId="60" xfId="0" applyNumberFormat="1" applyFont="1" applyFill="1" applyBorder="1" applyAlignment="1" applyProtection="1">
      <alignment horizontal="left" vertical="center" wrapText="1"/>
      <protection/>
    </xf>
    <xf numFmtId="0" fontId="11" fillId="34" borderId="61" xfId="0" applyFont="1" applyFill="1" applyBorder="1" applyAlignment="1" applyProtection="1">
      <alignment horizontal="left" vertical="center" wrapText="1"/>
      <protection/>
    </xf>
    <xf numFmtId="0" fontId="11" fillId="34" borderId="62" xfId="0" applyFont="1" applyFill="1" applyBorder="1" applyAlignment="1" applyProtection="1">
      <alignment horizontal="left" vertical="center" wrapText="1"/>
      <protection/>
    </xf>
    <xf numFmtId="0" fontId="11" fillId="42" borderId="46" xfId="0" applyFont="1" applyFill="1" applyBorder="1" applyAlignment="1" applyProtection="1">
      <alignment horizontal="left" vertical="center" wrapText="1"/>
      <protection/>
    </xf>
    <xf numFmtId="4" fontId="11" fillId="42" borderId="62" xfId="0" applyNumberFormat="1" applyFont="1" applyFill="1" applyBorder="1" applyAlignment="1" applyProtection="1">
      <alignment horizontal="right" vertical="center" wrapText="1"/>
      <protection/>
    </xf>
    <xf numFmtId="4" fontId="11" fillId="42" borderId="60" xfId="0" applyNumberFormat="1" applyFont="1" applyFill="1" applyBorder="1" applyAlignment="1" applyProtection="1">
      <alignment horizontal="right" vertical="center" wrapText="1"/>
      <protection/>
    </xf>
    <xf numFmtId="4" fontId="11" fillId="42" borderId="59" xfId="0" applyNumberFormat="1" applyFont="1" applyFill="1" applyBorder="1" applyAlignment="1" applyProtection="1">
      <alignment horizontal="right" vertical="center" wrapText="1"/>
      <protection/>
    </xf>
    <xf numFmtId="4" fontId="11" fillId="42" borderId="46" xfId="0" applyNumberFormat="1" applyFont="1" applyFill="1" applyBorder="1" applyAlignment="1" applyProtection="1">
      <alignment horizontal="right"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4" fontId="15" fillId="0" borderId="48" xfId="0" applyNumberFormat="1" applyFont="1" applyFill="1" applyBorder="1" applyAlignment="1" applyProtection="1">
      <alignment horizontal="left" vertical="center" wrapText="1"/>
      <protection/>
    </xf>
    <xf numFmtId="0" fontId="15" fillId="0" borderId="56" xfId="0" applyFont="1" applyFill="1" applyBorder="1" applyAlignment="1" applyProtection="1">
      <alignment horizontal="center" vertical="center" wrapText="1"/>
      <protection/>
    </xf>
    <xf numFmtId="4" fontId="15" fillId="37" borderId="63" xfId="0" applyNumberFormat="1" applyFont="1" applyFill="1" applyBorder="1" applyAlignment="1" applyProtection="1">
      <alignment horizontal="right" vertical="center" wrapText="1"/>
      <protection/>
    </xf>
    <xf numFmtId="0" fontId="15" fillId="37" borderId="52" xfId="0" applyFont="1" applyFill="1" applyBorder="1" applyAlignment="1" applyProtection="1">
      <alignment horizontal="left" vertical="center" wrapText="1"/>
      <protection/>
    </xf>
    <xf numFmtId="4" fontId="15" fillId="37" borderId="52" xfId="0" applyNumberFormat="1" applyFont="1" applyFill="1" applyBorder="1" applyAlignment="1" applyProtection="1">
      <alignment horizontal="left" vertical="center" wrapText="1"/>
      <protection/>
    </xf>
    <xf numFmtId="4" fontId="15" fillId="37" borderId="53" xfId="0" applyNumberFormat="1" applyFont="1" applyFill="1" applyBorder="1" applyAlignment="1" applyProtection="1">
      <alignment horizontal="right" vertical="center" wrapText="1"/>
      <protection/>
    </xf>
    <xf numFmtId="0" fontId="0" fillId="35" borderId="39" xfId="0" applyFont="1" applyFill="1" applyBorder="1" applyAlignment="1" applyProtection="1">
      <alignment horizontal="center" vertical="center" wrapText="1"/>
      <protection/>
    </xf>
    <xf numFmtId="0" fontId="15" fillId="35" borderId="64" xfId="0" applyFont="1" applyFill="1" applyBorder="1" applyAlignment="1" applyProtection="1">
      <alignment horizontal="left" vertical="center" wrapText="1"/>
      <protection/>
    </xf>
    <xf numFmtId="0" fontId="15" fillId="0" borderId="65" xfId="0" applyFont="1" applyFill="1" applyBorder="1" applyAlignment="1" applyProtection="1">
      <alignment horizontal="center" vertical="center" wrapText="1"/>
      <protection/>
    </xf>
    <xf numFmtId="0" fontId="15" fillId="37" borderId="66" xfId="0" applyFont="1" applyFill="1" applyBorder="1" applyAlignment="1" applyProtection="1">
      <alignment horizontal="left" vertical="center" wrapText="1"/>
      <protection/>
    </xf>
    <xf numFmtId="4" fontId="15" fillId="37" borderId="25" xfId="0" applyNumberFormat="1" applyFont="1" applyFill="1" applyBorder="1" applyAlignment="1" applyProtection="1">
      <alignment horizontal="right" vertical="center" wrapText="1"/>
      <protection/>
    </xf>
    <xf numFmtId="0" fontId="15" fillId="0" borderId="67" xfId="0" applyFont="1" applyFill="1" applyBorder="1" applyAlignment="1" applyProtection="1">
      <alignment horizontal="left" vertical="center" wrapText="1"/>
      <protection/>
    </xf>
    <xf numFmtId="0" fontId="15" fillId="0" borderId="68" xfId="0" applyFont="1" applyFill="1" applyBorder="1" applyAlignment="1" applyProtection="1">
      <alignment horizontal="left" vertical="center" wrapText="1"/>
      <protection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4" fontId="15" fillId="0" borderId="68" xfId="0" applyNumberFormat="1" applyFont="1" applyFill="1" applyBorder="1" applyAlignment="1" applyProtection="1">
      <alignment horizontal="right" vertical="center" wrapText="1"/>
      <protection/>
    </xf>
    <xf numFmtId="4" fontId="15" fillId="0" borderId="69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4" fontId="0" fillId="0" borderId="24" xfId="0" applyNumberFormat="1" applyFill="1" applyBorder="1" applyAlignment="1" applyProtection="1">
      <alignment horizontal="right" vertical="center" wrapText="1"/>
      <protection/>
    </xf>
    <xf numFmtId="0" fontId="15" fillId="35" borderId="70" xfId="0" applyFont="1" applyFill="1" applyBorder="1" applyAlignment="1" applyProtection="1">
      <alignment horizontal="left" vertical="center" wrapText="1"/>
      <protection/>
    </xf>
    <xf numFmtId="0" fontId="15" fillId="35" borderId="71" xfId="0" applyFont="1" applyFill="1" applyBorder="1" applyAlignment="1" applyProtection="1">
      <alignment horizontal="left" vertical="center" wrapText="1"/>
      <protection/>
    </xf>
    <xf numFmtId="4" fontId="0" fillId="0" borderId="39" xfId="0" applyNumberFormat="1" applyFill="1" applyBorder="1" applyAlignment="1" applyProtection="1">
      <alignment horizontal="right" vertical="center" wrapText="1"/>
      <protection/>
    </xf>
    <xf numFmtId="0" fontId="15" fillId="0" borderId="72" xfId="0" applyFont="1" applyFill="1" applyBorder="1" applyAlignment="1" applyProtection="1">
      <alignment horizontal="center" vertical="center" wrapText="1"/>
      <protection/>
    </xf>
    <xf numFmtId="0" fontId="15" fillId="37" borderId="22" xfId="0" applyFont="1" applyFill="1" applyBorder="1" applyAlignment="1" applyProtection="1">
      <alignment horizontal="left" vertical="center" wrapText="1"/>
      <protection/>
    </xf>
    <xf numFmtId="0" fontId="15" fillId="37" borderId="44" xfId="0" applyFont="1" applyFill="1" applyBorder="1" applyAlignment="1" applyProtection="1">
      <alignment horizontal="left" vertical="center" wrapText="1"/>
      <protection/>
    </xf>
    <xf numFmtId="0" fontId="15" fillId="37" borderId="44" xfId="0" applyFont="1" applyFill="1" applyBorder="1" applyAlignment="1" applyProtection="1">
      <alignment horizontal="center" vertical="center" wrapText="1"/>
      <protection/>
    </xf>
    <xf numFmtId="4" fontId="15" fillId="37" borderId="44" xfId="0" applyNumberFormat="1" applyFont="1" applyFill="1" applyBorder="1" applyAlignment="1" applyProtection="1">
      <alignment horizontal="left" vertical="center" wrapText="1"/>
      <protection/>
    </xf>
    <xf numFmtId="4" fontId="15" fillId="37" borderId="73" xfId="0" applyNumberFormat="1" applyFont="1" applyFill="1" applyBorder="1" applyAlignment="1" applyProtection="1">
      <alignment horizontal="right" vertical="center" wrapText="1"/>
      <protection/>
    </xf>
    <xf numFmtId="0" fontId="15" fillId="35" borderId="45" xfId="0" applyFont="1" applyFill="1" applyBorder="1" applyAlignment="1" applyProtection="1">
      <alignment horizontal="right" vertical="center" wrapText="1"/>
      <protection/>
    </xf>
    <xf numFmtId="0" fontId="15" fillId="37" borderId="24" xfId="0" applyFont="1" applyFill="1" applyBorder="1" applyAlignment="1" applyProtection="1">
      <alignment horizontal="left" vertical="center" wrapText="1"/>
      <protection/>
    </xf>
    <xf numFmtId="4" fontId="15" fillId="37" borderId="24" xfId="0" applyNumberFormat="1" applyFont="1" applyFill="1" applyBorder="1" applyAlignment="1" applyProtection="1">
      <alignment horizontal="left" vertical="center" wrapText="1"/>
      <protection/>
    </xf>
    <xf numFmtId="4" fontId="15" fillId="37" borderId="24" xfId="0" applyNumberFormat="1" applyFont="1" applyFill="1" applyBorder="1" applyAlignment="1" applyProtection="1">
      <alignment horizontal="right" vertical="center" wrapText="1"/>
      <protection/>
    </xf>
    <xf numFmtId="0" fontId="15" fillId="35" borderId="24" xfId="0" applyFont="1" applyFill="1" applyBorder="1" applyAlignment="1" applyProtection="1">
      <alignment horizontal="right" vertical="center" wrapText="1"/>
      <protection/>
    </xf>
    <xf numFmtId="0" fontId="15" fillId="37" borderId="24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4" fontId="15" fillId="0" borderId="74" xfId="0" applyNumberFormat="1" applyFont="1" applyFill="1" applyBorder="1" applyAlignment="1" applyProtection="1">
      <alignment horizontal="right" vertical="center" wrapText="1"/>
      <protection/>
    </xf>
    <xf numFmtId="0" fontId="15" fillId="35" borderId="24" xfId="0" applyFont="1" applyFill="1" applyBorder="1" applyAlignment="1" applyProtection="1">
      <alignment horizontal="left" vertical="center" wrapText="1"/>
      <protection/>
    </xf>
    <xf numFmtId="0" fontId="15" fillId="37" borderId="65" xfId="0" applyFont="1" applyFill="1" applyBorder="1" applyAlignment="1" applyProtection="1">
      <alignment horizontal="center" vertical="center" wrapText="1"/>
      <protection/>
    </xf>
    <xf numFmtId="0" fontId="15" fillId="35" borderId="75" xfId="0" applyFont="1" applyFill="1" applyBorder="1" applyAlignment="1" applyProtection="1">
      <alignment horizontal="right" vertical="center" wrapText="1"/>
      <protection/>
    </xf>
    <xf numFmtId="0" fontId="0" fillId="35" borderId="76" xfId="0" applyFont="1" applyFill="1" applyBorder="1" applyAlignment="1" applyProtection="1">
      <alignment horizontal="left" vertical="center" wrapText="1"/>
      <protection/>
    </xf>
    <xf numFmtId="0" fontId="15" fillId="37" borderId="27" xfId="0" applyFont="1" applyFill="1" applyBorder="1" applyAlignment="1" applyProtection="1">
      <alignment horizontal="left" vertical="center" wrapText="1"/>
      <protection/>
    </xf>
    <xf numFmtId="0" fontId="15" fillId="37" borderId="77" xfId="0" applyFont="1" applyFill="1" applyBorder="1" applyAlignment="1" applyProtection="1">
      <alignment horizontal="left" vertical="center" wrapText="1"/>
      <protection/>
    </xf>
    <xf numFmtId="4" fontId="15" fillId="37" borderId="77" xfId="0" applyNumberFormat="1" applyFont="1" applyFill="1" applyBorder="1" applyAlignment="1" applyProtection="1">
      <alignment horizontal="left" vertical="center" wrapText="1"/>
      <protection/>
    </xf>
    <xf numFmtId="4" fontId="15" fillId="37" borderId="78" xfId="0" applyNumberFormat="1" applyFont="1" applyFill="1" applyBorder="1" applyAlignment="1" applyProtection="1">
      <alignment horizontal="right" vertical="center" wrapText="1"/>
      <protection/>
    </xf>
    <xf numFmtId="0" fontId="15" fillId="35" borderId="79" xfId="0" applyFont="1" applyFill="1" applyBorder="1" applyAlignment="1" applyProtection="1">
      <alignment horizontal="right" vertical="center" wrapText="1"/>
      <protection/>
    </xf>
    <xf numFmtId="0" fontId="15" fillId="35" borderId="80" xfId="0" applyFont="1" applyFill="1" applyBorder="1" applyAlignment="1" applyProtection="1">
      <alignment horizontal="right" vertical="center" wrapText="1"/>
      <protection/>
    </xf>
    <xf numFmtId="0" fontId="0" fillId="35" borderId="81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1" fillId="43" borderId="82" xfId="0" applyFont="1" applyFill="1" applyBorder="1" applyAlignment="1" applyProtection="1">
      <alignment horizontal="center" vertical="center" wrapText="1"/>
      <protection/>
    </xf>
    <xf numFmtId="0" fontId="11" fillId="43" borderId="83" xfId="0" applyFont="1" applyFill="1" applyBorder="1" applyAlignment="1" applyProtection="1">
      <alignment horizontal="center" vertical="center" wrapText="1"/>
      <protection/>
    </xf>
    <xf numFmtId="0" fontId="11" fillId="43" borderId="84" xfId="0" applyFont="1" applyFill="1" applyBorder="1" applyAlignment="1" applyProtection="1">
      <alignment horizontal="center" vertical="center" wrapText="1"/>
      <protection/>
    </xf>
    <xf numFmtId="0" fontId="11" fillId="41" borderId="79" xfId="0" applyFont="1" applyFill="1" applyBorder="1" applyAlignment="1" applyProtection="1">
      <alignment horizontal="left" vertical="center" wrapText="1"/>
      <protection/>
    </xf>
    <xf numFmtId="0" fontId="11" fillId="41" borderId="77" xfId="0" applyFont="1" applyFill="1" applyBorder="1" applyAlignment="1" applyProtection="1">
      <alignment horizontal="left" vertical="center" wrapText="1"/>
      <protection/>
    </xf>
    <xf numFmtId="0" fontId="11" fillId="41" borderId="78" xfId="0" applyFont="1" applyFill="1" applyBorder="1" applyAlignment="1" applyProtection="1">
      <alignment horizontal="left" vertical="center" wrapText="1"/>
      <protection/>
    </xf>
    <xf numFmtId="0" fontId="11" fillId="43" borderId="85" xfId="0" applyFont="1" applyFill="1" applyBorder="1" applyAlignment="1" applyProtection="1">
      <alignment horizontal="center" vertical="center" wrapText="1"/>
      <protection/>
    </xf>
    <xf numFmtId="0" fontId="11" fillId="43" borderId="86" xfId="0" applyFont="1" applyFill="1" applyBorder="1" applyAlignment="1" applyProtection="1">
      <alignment horizontal="center" vertical="center" wrapText="1"/>
      <protection/>
    </xf>
    <xf numFmtId="0" fontId="11" fillId="42" borderId="87" xfId="0" applyFont="1" applyFill="1" applyBorder="1" applyAlignment="1" applyProtection="1">
      <alignment horizontal="center" vertical="center" wrapText="1"/>
      <protection/>
    </xf>
    <xf numFmtId="0" fontId="11" fillId="42" borderId="88" xfId="0" applyFont="1" applyFill="1" applyBorder="1" applyAlignment="1" applyProtection="1">
      <alignment horizontal="center" vertical="center" wrapText="1"/>
      <protection/>
    </xf>
    <xf numFmtId="0" fontId="11" fillId="34" borderId="89" xfId="0" applyFont="1" applyFill="1" applyBorder="1" applyAlignment="1" applyProtection="1">
      <alignment horizontal="center" vertical="center" wrapText="1"/>
      <protection/>
    </xf>
    <xf numFmtId="0" fontId="11" fillId="34" borderId="6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15" fillId="0" borderId="9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left" vertical="center" wrapText="1"/>
      <protection/>
    </xf>
    <xf numFmtId="0" fontId="15" fillId="0" borderId="28" xfId="0" applyFont="1" applyFill="1" applyBorder="1" applyAlignment="1" applyProtection="1">
      <alignment horizontal="left" vertical="center" wrapText="1"/>
      <protection/>
    </xf>
    <xf numFmtId="0" fontId="0" fillId="35" borderId="76" xfId="0" applyFont="1" applyFill="1" applyBorder="1" applyAlignment="1" applyProtection="1">
      <alignment horizontal="center" vertical="center" wrapText="1"/>
      <protection/>
    </xf>
    <xf numFmtId="0" fontId="0" fillId="35" borderId="91" xfId="0" applyFont="1" applyFill="1" applyBorder="1" applyAlignment="1" applyProtection="1">
      <alignment horizontal="center" vertical="center" wrapText="1"/>
      <protection/>
    </xf>
    <xf numFmtId="0" fontId="0" fillId="35" borderId="92" xfId="0" applyFont="1" applyFill="1" applyBorder="1" applyAlignment="1" applyProtection="1">
      <alignment horizontal="center" vertical="center" wrapText="1"/>
      <protection/>
    </xf>
    <xf numFmtId="0" fontId="15" fillId="0" borderId="9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4" fontId="6" fillId="0" borderId="0" xfId="0" applyNumberFormat="1" applyFont="1" applyFill="1" applyAlignment="1" applyProtection="1">
      <alignment horizontal="left" vertical="center" wrapText="1"/>
      <protection/>
    </xf>
    <xf numFmtId="0" fontId="66" fillId="0" borderId="0" xfId="0" applyFont="1" applyFill="1" applyAlignment="1" applyProtection="1">
      <alignment horizontal="right" vertical="center" wrapText="1"/>
      <protection/>
    </xf>
    <xf numFmtId="0" fontId="67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right" vertical="top" wrapText="1"/>
      <protection/>
    </xf>
    <xf numFmtId="0" fontId="10" fillId="0" borderId="94" xfId="0" applyFont="1" applyFill="1" applyBorder="1" applyAlignment="1" applyProtection="1">
      <alignment horizontal="left" vertical="center" wrapText="1"/>
      <protection/>
    </xf>
    <xf numFmtId="0" fontId="10" fillId="0" borderId="95" xfId="0" applyFont="1" applyFill="1" applyBorder="1" applyAlignment="1" applyProtection="1">
      <alignment horizontal="left" vertical="center" wrapText="1"/>
      <protection/>
    </xf>
    <xf numFmtId="4" fontId="10" fillId="0" borderId="95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CFD8DC"/>
      <rgbColor rgb="00ECEFF1"/>
      <rgbColor rgb="00FFE0B2"/>
      <rgbColor rgb="00455A64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1"/>
  <sheetViews>
    <sheetView view="pageLayout" zoomScaleNormal="75" workbookViewId="0" topLeftCell="C73">
      <selection activeCell="M86" sqref="M86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78.57421875" style="0" customWidth="1"/>
    <col min="4" max="4" width="27.140625" style="0" customWidth="1"/>
    <col min="5" max="5" width="11.140625" style="0" customWidth="1"/>
    <col min="6" max="6" width="13.7109375" style="0" customWidth="1"/>
    <col min="7" max="7" width="14.140625" style="0" hidden="1" customWidth="1"/>
    <col min="8" max="8" width="14.28125" style="0" hidden="1" customWidth="1"/>
    <col min="9" max="9" width="14.140625" style="0" hidden="1" customWidth="1"/>
    <col min="10" max="10" width="14.00390625" style="0" hidden="1" customWidth="1"/>
    <col min="11" max="11" width="14.28125" style="0" hidden="1" customWidth="1"/>
    <col min="12" max="12" width="15.140625" style="0" hidden="1" customWidth="1"/>
    <col min="13" max="13" width="13.57421875" style="0" customWidth="1"/>
    <col min="14" max="14" width="12.421875" style="0" customWidth="1"/>
    <col min="15" max="15" width="11.00390625" style="0" customWidth="1"/>
    <col min="16" max="16" width="21.28125" style="0" customWidth="1"/>
  </cols>
  <sheetData>
    <row r="1" spans="2:16" ht="26.25" customHeight="1">
      <c r="B1" s="163" t="s">
        <v>237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2:18" ht="18" customHeight="1" thickBot="1">
      <c r="B2" s="164" t="s">
        <v>188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R2" s="21"/>
    </row>
    <row r="3" spans="2:16" ht="45.75" customHeight="1" thickBot="1" thickTop="1">
      <c r="B3" s="61" t="s">
        <v>0</v>
      </c>
      <c r="C3" s="62" t="s">
        <v>1</v>
      </c>
      <c r="D3" s="62" t="s">
        <v>2</v>
      </c>
      <c r="E3" s="62" t="s">
        <v>3</v>
      </c>
      <c r="F3" s="62" t="s">
        <v>4</v>
      </c>
      <c r="G3" s="62" t="s">
        <v>5</v>
      </c>
      <c r="H3" s="62" t="s">
        <v>6</v>
      </c>
      <c r="I3" s="62" t="s">
        <v>7</v>
      </c>
      <c r="J3" s="62" t="s">
        <v>8</v>
      </c>
      <c r="K3" s="62" t="s">
        <v>9</v>
      </c>
      <c r="L3" s="62" t="s">
        <v>10</v>
      </c>
      <c r="M3" s="63" t="s">
        <v>225</v>
      </c>
      <c r="N3" s="64" t="s">
        <v>173</v>
      </c>
      <c r="O3" s="65" t="s">
        <v>174</v>
      </c>
      <c r="P3" s="66" t="s">
        <v>204</v>
      </c>
    </row>
    <row r="4" spans="2:16" ht="24.75" customHeight="1" thickBot="1">
      <c r="B4" s="165" t="s">
        <v>12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2:16" ht="16.5" customHeight="1">
      <c r="B5" s="83">
        <v>1</v>
      </c>
      <c r="C5" s="84" t="s">
        <v>13</v>
      </c>
      <c r="D5" s="85" t="s">
        <v>14</v>
      </c>
      <c r="E5" s="86">
        <v>1</v>
      </c>
      <c r="F5" s="86">
        <v>2</v>
      </c>
      <c r="G5" s="87">
        <f>1128.9376*E5*F5</f>
        <v>2257.8752</v>
      </c>
      <c r="H5" s="87">
        <f>422.262792*E5*F5</f>
        <v>844.525584</v>
      </c>
      <c r="I5" s="87">
        <f aca="true" t="shared" si="0" ref="I5:I33">0*E5*F5</f>
        <v>0</v>
      </c>
      <c r="J5" s="87">
        <f>1074.7485952*E5*F5</f>
        <v>2149.4971904</v>
      </c>
      <c r="K5" s="87">
        <f>275.724643656*E5*F5</f>
        <v>551.449287312</v>
      </c>
      <c r="L5" s="87">
        <f>225.78752*E5*F5</f>
        <v>451.57504</v>
      </c>
      <c r="M5" s="88">
        <f aca="true" t="shared" si="1" ref="M5:M33">SUM(G5:L5)</f>
        <v>6254.922301711999</v>
      </c>
      <c r="N5" s="134">
        <f aca="true" t="shared" si="2" ref="N5:N33">M5/12</f>
        <v>521.2435251426666</v>
      </c>
      <c r="O5" s="70">
        <f>N5/9098</f>
        <v>0.05729209992774968</v>
      </c>
      <c r="P5" s="71" t="s">
        <v>205</v>
      </c>
    </row>
    <row r="6" spans="2:16" s="45" customFormat="1" ht="12.75">
      <c r="B6" s="89">
        <v>2</v>
      </c>
      <c r="C6" s="77" t="s">
        <v>15</v>
      </c>
      <c r="D6" s="41" t="s">
        <v>16</v>
      </c>
      <c r="E6" s="42">
        <v>14.961</v>
      </c>
      <c r="F6" s="42">
        <v>2</v>
      </c>
      <c r="G6" s="43">
        <f>43.59264*E6*F6</f>
        <v>1304.37897408</v>
      </c>
      <c r="H6" s="43">
        <f aca="true" t="shared" si="3" ref="H6:H12">0*E6*F6</f>
        <v>0</v>
      </c>
      <c r="I6" s="43">
        <f t="shared" si="0"/>
        <v>0</v>
      </c>
      <c r="J6" s="43">
        <f>41.50019328*E6*F6</f>
        <v>1241.76878332416</v>
      </c>
      <c r="K6" s="43">
        <f>8.9347474944*E6*F6</f>
        <v>267.3455145274368</v>
      </c>
      <c r="L6" s="43">
        <f>8.718528*E6*F6</f>
        <v>260.875794816</v>
      </c>
      <c r="M6" s="90">
        <f t="shared" si="1"/>
        <v>3074.369066747597</v>
      </c>
      <c r="N6" s="123">
        <f t="shared" si="2"/>
        <v>256.19742222896645</v>
      </c>
      <c r="O6" s="56">
        <f aca="true" t="shared" si="4" ref="O6:O33">N6/9098</f>
        <v>0.028159751838752082</v>
      </c>
      <c r="P6" s="73" t="s">
        <v>205</v>
      </c>
    </row>
    <row r="7" spans="2:16" s="45" customFormat="1" ht="12.75">
      <c r="B7" s="91">
        <v>3</v>
      </c>
      <c r="C7" s="77" t="s">
        <v>17</v>
      </c>
      <c r="D7" s="41" t="s">
        <v>16</v>
      </c>
      <c r="E7" s="42">
        <v>14.961</v>
      </c>
      <c r="F7" s="42">
        <v>2</v>
      </c>
      <c r="G7" s="43">
        <f>347.62336*E7*F7</f>
        <v>10401.58617792</v>
      </c>
      <c r="H7" s="43">
        <f t="shared" si="3"/>
        <v>0</v>
      </c>
      <c r="I7" s="43">
        <f t="shared" si="0"/>
        <v>0</v>
      </c>
      <c r="J7" s="43">
        <f>330.93743872*E7*F7</f>
        <v>9902.31004137984</v>
      </c>
      <c r="K7" s="43">
        <f>71.2488838656*E7*F7</f>
        <v>2131.9091030264835</v>
      </c>
      <c r="L7" s="43">
        <f>69.524672*E7*F7</f>
        <v>2080.3172355839997</v>
      </c>
      <c r="M7" s="90">
        <f t="shared" si="1"/>
        <v>24516.122557910323</v>
      </c>
      <c r="N7" s="123">
        <f t="shared" si="2"/>
        <v>2043.0102131591937</v>
      </c>
      <c r="O7" s="56">
        <f t="shared" si="4"/>
        <v>0.22455596979107426</v>
      </c>
      <c r="P7" s="73" t="s">
        <v>205</v>
      </c>
    </row>
    <row r="8" spans="2:16" s="45" customFormat="1" ht="12.75">
      <c r="B8" s="89">
        <v>4</v>
      </c>
      <c r="C8" s="77" t="s">
        <v>18</v>
      </c>
      <c r="D8" s="41" t="s">
        <v>16</v>
      </c>
      <c r="E8" s="42">
        <v>14.961</v>
      </c>
      <c r="F8" s="42">
        <v>2</v>
      </c>
      <c r="G8" s="43">
        <f>504.2464*E8*F8</f>
        <v>15088.0607808</v>
      </c>
      <c r="H8" s="43">
        <f t="shared" si="3"/>
        <v>0</v>
      </c>
      <c r="I8" s="43">
        <f t="shared" si="0"/>
        <v>0</v>
      </c>
      <c r="J8" s="43">
        <f>480.0425728*E8*F8</f>
        <v>14363.8338633216</v>
      </c>
      <c r="K8" s="43">
        <f>103.350342144*E8*F8</f>
        <v>3092.448937632768</v>
      </c>
      <c r="L8" s="43">
        <f>100.84928*E8*F8</f>
        <v>3017.61215616</v>
      </c>
      <c r="M8" s="90">
        <f t="shared" si="1"/>
        <v>35561.95573791437</v>
      </c>
      <c r="N8" s="123">
        <f t="shared" si="2"/>
        <v>2963.4963114928646</v>
      </c>
      <c r="O8" s="56">
        <f t="shared" si="4"/>
        <v>0.3257305244551401</v>
      </c>
      <c r="P8" s="73" t="s">
        <v>205</v>
      </c>
    </row>
    <row r="9" spans="2:16" s="45" customFormat="1" ht="12.75" customHeight="1">
      <c r="B9" s="124">
        <v>5</v>
      </c>
      <c r="C9" s="125" t="s">
        <v>19</v>
      </c>
      <c r="D9" s="46" t="s">
        <v>20</v>
      </c>
      <c r="E9" s="55">
        <v>1.3436</v>
      </c>
      <c r="F9" s="55">
        <v>2</v>
      </c>
      <c r="G9" s="126">
        <f>352.97248*E9*F9</f>
        <v>948.507648256</v>
      </c>
      <c r="H9" s="126">
        <f t="shared" si="3"/>
        <v>0</v>
      </c>
      <c r="I9" s="126">
        <f t="shared" si="0"/>
        <v>0</v>
      </c>
      <c r="J9" s="126">
        <f>336.02980096*E9*F9</f>
        <v>902.9792811397119</v>
      </c>
      <c r="K9" s="126">
        <f>72.3452395008*E9*F9</f>
        <v>194.40612758654976</v>
      </c>
      <c r="L9" s="126">
        <f>70.594496*E9*F9</f>
        <v>189.7015296512</v>
      </c>
      <c r="M9" s="118">
        <f t="shared" si="1"/>
        <v>2235.594586633462</v>
      </c>
      <c r="N9" s="123">
        <f t="shared" si="2"/>
        <v>186.2995488861218</v>
      </c>
      <c r="O9" s="56">
        <f t="shared" si="4"/>
        <v>0.02047697833437259</v>
      </c>
      <c r="P9" s="73" t="s">
        <v>205</v>
      </c>
    </row>
    <row r="10" spans="2:16" s="45" customFormat="1" ht="12.75" customHeight="1">
      <c r="B10" s="91">
        <v>6</v>
      </c>
      <c r="C10" s="38" t="s">
        <v>244</v>
      </c>
      <c r="D10" s="38" t="s">
        <v>245</v>
      </c>
      <c r="E10" s="132">
        <v>2</v>
      </c>
      <c r="F10" s="132">
        <v>1</v>
      </c>
      <c r="G10" s="133">
        <f>1933.638*E10*F10</f>
        <v>3867.276</v>
      </c>
      <c r="H10" s="133">
        <f t="shared" si="3"/>
        <v>0</v>
      </c>
      <c r="I10" s="133">
        <f>0*E10*F10</f>
        <v>0</v>
      </c>
      <c r="J10" s="133">
        <f>1840.823376*E10*F10</f>
        <v>3681.646752</v>
      </c>
      <c r="K10" s="133">
        <f>396.31844448*E10*F10</f>
        <v>792.63688896</v>
      </c>
      <c r="L10" s="133">
        <f>386.7276*E10*F10</f>
        <v>773.4552</v>
      </c>
      <c r="M10" s="136">
        <f>SUM(G10:L10)</f>
        <v>9115.01484096</v>
      </c>
      <c r="N10" s="123">
        <f t="shared" si="2"/>
        <v>759.58457008</v>
      </c>
      <c r="O10" s="56">
        <f t="shared" si="4"/>
        <v>0.08348918114750495</v>
      </c>
      <c r="P10" s="73" t="s">
        <v>207</v>
      </c>
    </row>
    <row r="11" spans="2:16" s="45" customFormat="1" ht="12.75" customHeight="1">
      <c r="B11" s="89">
        <v>7</v>
      </c>
      <c r="C11" s="38" t="s">
        <v>246</v>
      </c>
      <c r="D11" s="38" t="s">
        <v>245</v>
      </c>
      <c r="E11" s="132">
        <v>1</v>
      </c>
      <c r="F11" s="132">
        <v>1</v>
      </c>
      <c r="G11" s="133">
        <f>2209.872*E11*F11</f>
        <v>2209.872</v>
      </c>
      <c r="H11" s="133">
        <f t="shared" si="3"/>
        <v>0</v>
      </c>
      <c r="I11" s="133">
        <f>0*E11*F11</f>
        <v>0</v>
      </c>
      <c r="J11" s="133">
        <f>2103.798144*E11*F11</f>
        <v>2103.798144</v>
      </c>
      <c r="K11" s="133">
        <f>452.93536512*E11*F11</f>
        <v>452.93536512</v>
      </c>
      <c r="L11" s="133">
        <f>441.9744*E11*F11</f>
        <v>441.9744</v>
      </c>
      <c r="M11" s="136">
        <f>SUM(G11:L11)</f>
        <v>5208.57990912</v>
      </c>
      <c r="N11" s="123">
        <f t="shared" si="2"/>
        <v>434.04832575999995</v>
      </c>
      <c r="O11" s="56">
        <f t="shared" si="4"/>
        <v>0.047708103512859965</v>
      </c>
      <c r="P11" s="73" t="s">
        <v>207</v>
      </c>
    </row>
    <row r="12" spans="2:16" s="45" customFormat="1" ht="12.75" customHeight="1">
      <c r="B12" s="124">
        <v>8</v>
      </c>
      <c r="C12" s="38" t="s">
        <v>249</v>
      </c>
      <c r="D12" s="38" t="s">
        <v>247</v>
      </c>
      <c r="E12" s="132">
        <v>0.08</v>
      </c>
      <c r="F12" s="132">
        <v>12</v>
      </c>
      <c r="G12" s="133">
        <f>1341.312*E12*F12</f>
        <v>1287.65952</v>
      </c>
      <c r="H12" s="133">
        <f t="shared" si="3"/>
        <v>0</v>
      </c>
      <c r="I12" s="133">
        <f>0*E12*F12</f>
        <v>0</v>
      </c>
      <c r="J12" s="133">
        <f>1276.929024*E12*F12</f>
        <v>1225.85186304</v>
      </c>
      <c r="K12" s="133">
        <f>274.91530752*E12*F12</f>
        <v>263.9186952192</v>
      </c>
      <c r="L12" s="133">
        <f>268.2624*E12*F12</f>
        <v>257.531904</v>
      </c>
      <c r="M12" s="136">
        <f>SUM(G12:L12)</f>
        <v>3034.9619822591994</v>
      </c>
      <c r="N12" s="123">
        <f t="shared" si="2"/>
        <v>252.91349852159996</v>
      </c>
      <c r="O12" s="56">
        <f t="shared" si="4"/>
        <v>0.027798801771993842</v>
      </c>
      <c r="P12" s="122" t="s">
        <v>226</v>
      </c>
    </row>
    <row r="13" spans="2:16" ht="29.25" customHeight="1">
      <c r="B13" s="91">
        <v>9</v>
      </c>
      <c r="C13" s="127" t="s">
        <v>21</v>
      </c>
      <c r="D13" s="128" t="s">
        <v>22</v>
      </c>
      <c r="E13" s="129">
        <v>1</v>
      </c>
      <c r="F13" s="129">
        <v>2</v>
      </c>
      <c r="G13" s="130">
        <f>3958.7632*E13*F13</f>
        <v>7917.5264</v>
      </c>
      <c r="H13" s="130">
        <f>608.164872*E13*F13</f>
        <v>1216.329744</v>
      </c>
      <c r="I13" s="130">
        <f t="shared" si="0"/>
        <v>0</v>
      </c>
      <c r="J13" s="130">
        <f>3768.7425664*E13*F13</f>
        <v>7537.4851328</v>
      </c>
      <c r="K13" s="130">
        <f>875.245417032*E13*F13</f>
        <v>1750.490834064</v>
      </c>
      <c r="L13" s="130">
        <f>791.75264*E13*F13</f>
        <v>1583.50528</v>
      </c>
      <c r="M13" s="131">
        <f t="shared" si="1"/>
        <v>20005.337390864</v>
      </c>
      <c r="N13" s="123">
        <f t="shared" si="2"/>
        <v>1667.1114492386666</v>
      </c>
      <c r="O13" s="56">
        <f t="shared" si="4"/>
        <v>0.1832393327367187</v>
      </c>
      <c r="P13" s="73" t="s">
        <v>205</v>
      </c>
    </row>
    <row r="14" spans="2:16" ht="29.25" customHeight="1">
      <c r="B14" s="89">
        <v>10</v>
      </c>
      <c r="C14" s="78" t="s">
        <v>266</v>
      </c>
      <c r="D14" s="1" t="s">
        <v>223</v>
      </c>
      <c r="E14" s="60">
        <v>100</v>
      </c>
      <c r="F14" s="60">
        <v>1</v>
      </c>
      <c r="G14" s="3">
        <f>50.2992*E14*F14</f>
        <v>5029.92</v>
      </c>
      <c r="H14" s="3">
        <f>227.7324*E14*F14</f>
        <v>22773.24</v>
      </c>
      <c r="I14" s="3">
        <f>0*E14*F14</f>
        <v>0</v>
      </c>
      <c r="J14" s="3">
        <f>47.8848384*E14*F14</f>
        <v>4788.48384</v>
      </c>
      <c r="K14" s="3">
        <f>34.221226032*E14*F14</f>
        <v>3422.1226031999995</v>
      </c>
      <c r="L14" s="3">
        <f>10.05984*E14*F14</f>
        <v>1005.9839999999999</v>
      </c>
      <c r="M14" s="93">
        <f>SUM(G14:L14)</f>
        <v>37019.7504432</v>
      </c>
      <c r="N14" s="123">
        <f t="shared" si="2"/>
        <v>3084.9792036</v>
      </c>
      <c r="O14" s="56">
        <f t="shared" si="4"/>
        <v>0.33908322747856673</v>
      </c>
      <c r="P14" s="73" t="s">
        <v>224</v>
      </c>
    </row>
    <row r="15" spans="2:16" ht="13.5" customHeight="1">
      <c r="B15" s="124">
        <v>11</v>
      </c>
      <c r="C15" s="59" t="s">
        <v>23</v>
      </c>
      <c r="D15" s="22" t="s">
        <v>24</v>
      </c>
      <c r="E15" s="23">
        <v>0.68</v>
      </c>
      <c r="F15" s="23">
        <v>1</v>
      </c>
      <c r="G15" s="24">
        <f>1134.5544*E15*F15</f>
        <v>771.4969920000001</v>
      </c>
      <c r="H15" s="24">
        <f>0*E15*F15</f>
        <v>0</v>
      </c>
      <c r="I15" s="24">
        <f t="shared" si="0"/>
        <v>0</v>
      </c>
      <c r="J15" s="24">
        <f>1080.0957888*E15*F15</f>
        <v>734.4651363840001</v>
      </c>
      <c r="K15" s="24">
        <f>232.538269824*E15*F15</f>
        <v>158.12602348032001</v>
      </c>
      <c r="L15" s="24">
        <f>226.91088*E15*F15</f>
        <v>154.2993984</v>
      </c>
      <c r="M15" s="92">
        <f t="shared" si="1"/>
        <v>1818.3875502643202</v>
      </c>
      <c r="N15" s="123">
        <f t="shared" si="2"/>
        <v>151.53229585536002</v>
      </c>
      <c r="O15" s="56">
        <f t="shared" si="4"/>
        <v>0.01665556120634865</v>
      </c>
      <c r="P15" s="122" t="s">
        <v>207</v>
      </c>
    </row>
    <row r="16" spans="2:16" ht="12.75">
      <c r="B16" s="91">
        <v>12</v>
      </c>
      <c r="C16" s="59" t="s">
        <v>25</v>
      </c>
      <c r="D16" s="22" t="s">
        <v>26</v>
      </c>
      <c r="E16" s="23">
        <v>12</v>
      </c>
      <c r="F16" s="23">
        <v>1</v>
      </c>
      <c r="G16" s="24">
        <f>558.88*E16*F16</f>
        <v>6706.5599999999995</v>
      </c>
      <c r="H16" s="24">
        <f>303.59812*E16*F16</f>
        <v>3643.17744</v>
      </c>
      <c r="I16" s="24">
        <f t="shared" si="0"/>
        <v>0</v>
      </c>
      <c r="J16" s="24">
        <f>532.05376*E16*F16</f>
        <v>6384.64512</v>
      </c>
      <c r="K16" s="24">
        <f>146.4258474*E16*F16</f>
        <v>1757.1101688</v>
      </c>
      <c r="L16" s="24">
        <f>111.776*E16*F16</f>
        <v>1341.312</v>
      </c>
      <c r="M16" s="92">
        <f t="shared" si="1"/>
        <v>19832.8047288</v>
      </c>
      <c r="N16" s="123">
        <f t="shared" si="2"/>
        <v>1652.7337274000001</v>
      </c>
      <c r="O16" s="56">
        <f t="shared" si="4"/>
        <v>0.18165901598153442</v>
      </c>
      <c r="P16" s="73" t="s">
        <v>207</v>
      </c>
    </row>
    <row r="17" spans="2:16" ht="12.75">
      <c r="B17" s="89">
        <v>13</v>
      </c>
      <c r="C17" s="59" t="s">
        <v>27</v>
      </c>
      <c r="D17" s="22" t="s">
        <v>26</v>
      </c>
      <c r="E17" s="23">
        <v>12</v>
      </c>
      <c r="F17" s="23">
        <v>1</v>
      </c>
      <c r="G17" s="24">
        <f>223.552*E17*F17</f>
        <v>2682.624</v>
      </c>
      <c r="H17" s="24">
        <f>0*E17*F17</f>
        <v>0</v>
      </c>
      <c r="I17" s="24">
        <f t="shared" si="0"/>
        <v>0</v>
      </c>
      <c r="J17" s="24">
        <f>212.821504*E17*F17</f>
        <v>2553.858048</v>
      </c>
      <c r="K17" s="24">
        <f>45.81921792*E17*F17</f>
        <v>549.83061504</v>
      </c>
      <c r="L17" s="24">
        <f>44.7104*E17*F17</f>
        <v>536.5248</v>
      </c>
      <c r="M17" s="92">
        <f t="shared" si="1"/>
        <v>6322.83746304</v>
      </c>
      <c r="N17" s="123">
        <f t="shared" si="2"/>
        <v>526.90312192</v>
      </c>
      <c r="O17" s="56">
        <f t="shared" si="4"/>
        <v>0.057914170358320506</v>
      </c>
      <c r="P17" s="73" t="s">
        <v>207</v>
      </c>
    </row>
    <row r="18" spans="2:16" ht="12.75">
      <c r="B18" s="124">
        <v>14</v>
      </c>
      <c r="C18" s="59" t="s">
        <v>28</v>
      </c>
      <c r="D18" s="22" t="s">
        <v>29</v>
      </c>
      <c r="E18" s="23">
        <v>1</v>
      </c>
      <c r="F18" s="23">
        <v>1</v>
      </c>
      <c r="G18" s="24">
        <f>31.935604913128*E18*F18</f>
        <v>31.935604913128</v>
      </c>
      <c r="H18" s="24">
        <f>0*E18*F18</f>
        <v>0</v>
      </c>
      <c r="I18" s="24">
        <f t="shared" si="0"/>
        <v>0</v>
      </c>
      <c r="J18" s="24">
        <f>30.402695877298*E18*F18</f>
        <v>30.402695877298</v>
      </c>
      <c r="K18" s="24">
        <f>6.5455215829947*E18*F18</f>
        <v>6.5455215829947</v>
      </c>
      <c r="L18" s="24">
        <f>6.3871209826256*E18*F18</f>
        <v>6.3871209826256</v>
      </c>
      <c r="M18" s="92">
        <f t="shared" si="1"/>
        <v>75.2709433560463</v>
      </c>
      <c r="N18" s="123">
        <f t="shared" si="2"/>
        <v>6.2725786130038585</v>
      </c>
      <c r="O18" s="56">
        <f t="shared" si="4"/>
        <v>0.0006894458796443019</v>
      </c>
      <c r="P18" s="73" t="s">
        <v>207</v>
      </c>
    </row>
    <row r="19" spans="2:16" ht="25.5">
      <c r="B19" s="91">
        <v>15</v>
      </c>
      <c r="C19" s="59" t="s">
        <v>30</v>
      </c>
      <c r="D19" s="22" t="s">
        <v>31</v>
      </c>
      <c r="E19" s="23">
        <v>1.384</v>
      </c>
      <c r="F19" s="23">
        <v>2</v>
      </c>
      <c r="G19" s="24">
        <f>504.2464*E19*F19</f>
        <v>1395.7540351999999</v>
      </c>
      <c r="H19" s="24">
        <f>0*E19*F19</f>
        <v>0</v>
      </c>
      <c r="I19" s="24">
        <f t="shared" si="0"/>
        <v>0</v>
      </c>
      <c r="J19" s="24">
        <f>480.0425728*E19*F19</f>
        <v>1328.7578415103999</v>
      </c>
      <c r="K19" s="24">
        <f>103.350342144*E19*F19</f>
        <v>286.073747054592</v>
      </c>
      <c r="L19" s="24">
        <f>100.84928*E19*F19</f>
        <v>279.15080703999996</v>
      </c>
      <c r="M19" s="92">
        <f t="shared" si="1"/>
        <v>3289.7364308049914</v>
      </c>
      <c r="N19" s="123">
        <f t="shared" si="2"/>
        <v>274.1447025670826</v>
      </c>
      <c r="O19" s="56">
        <f t="shared" si="4"/>
        <v>0.03013241399945951</v>
      </c>
      <c r="P19" s="122" t="s">
        <v>205</v>
      </c>
    </row>
    <row r="20" spans="2:16" ht="12.75">
      <c r="B20" s="89">
        <v>16</v>
      </c>
      <c r="C20" s="59" t="s">
        <v>32</v>
      </c>
      <c r="D20" s="22" t="s">
        <v>33</v>
      </c>
      <c r="E20" s="23">
        <v>1</v>
      </c>
      <c r="F20" s="23">
        <v>4</v>
      </c>
      <c r="G20" s="24">
        <f>447.104*E20*F20</f>
        <v>1788.416</v>
      </c>
      <c r="H20" s="24">
        <f>0*E20*F20</f>
        <v>0</v>
      </c>
      <c r="I20" s="24">
        <f t="shared" si="0"/>
        <v>0</v>
      </c>
      <c r="J20" s="24">
        <f>425.643008*E20*F20</f>
        <v>1702.572032</v>
      </c>
      <c r="K20" s="24">
        <f>91.63843584*E20*F20</f>
        <v>366.55374336</v>
      </c>
      <c r="L20" s="24">
        <f>89.4208*E20*F20</f>
        <v>357.6832</v>
      </c>
      <c r="M20" s="92">
        <f t="shared" si="1"/>
        <v>4215.224975360001</v>
      </c>
      <c r="N20" s="123">
        <f t="shared" si="2"/>
        <v>351.26874794666674</v>
      </c>
      <c r="O20" s="56">
        <f t="shared" si="4"/>
        <v>0.03860944690554701</v>
      </c>
      <c r="P20" s="73" t="s">
        <v>206</v>
      </c>
    </row>
    <row r="21" spans="2:16" ht="14.25" customHeight="1">
      <c r="B21" s="124">
        <v>17</v>
      </c>
      <c r="C21" s="59" t="s">
        <v>34</v>
      </c>
      <c r="D21" s="22" t="s">
        <v>35</v>
      </c>
      <c r="E21" s="23">
        <v>1</v>
      </c>
      <c r="F21" s="23">
        <v>1</v>
      </c>
      <c r="G21" s="24">
        <f>439.198592*E21*F21</f>
        <v>439.198592</v>
      </c>
      <c r="H21" s="24">
        <f>3.308846226*E21*F21</f>
        <v>3.308846226</v>
      </c>
      <c r="I21" s="24">
        <f t="shared" si="0"/>
        <v>0</v>
      </c>
      <c r="J21" s="24">
        <f>418.117059584*E21*F21</f>
        <v>418.117059584</v>
      </c>
      <c r="K21" s="24">
        <f>90.36557227005*E21*F21</f>
        <v>90.36557227005</v>
      </c>
      <c r="L21" s="24">
        <f>87.8397184*E21*F21</f>
        <v>87.8397184</v>
      </c>
      <c r="M21" s="92">
        <f t="shared" si="1"/>
        <v>1038.8297884800502</v>
      </c>
      <c r="N21" s="123">
        <f t="shared" si="2"/>
        <v>86.56914904000418</v>
      </c>
      <c r="O21" s="56">
        <f t="shared" si="4"/>
        <v>0.009515184550451108</v>
      </c>
      <c r="P21" s="73" t="s">
        <v>207</v>
      </c>
    </row>
    <row r="22" spans="2:16" ht="14.25" customHeight="1">
      <c r="B22" s="91">
        <v>18</v>
      </c>
      <c r="C22" s="59" t="s">
        <v>36</v>
      </c>
      <c r="D22" s="22" t="s">
        <v>35</v>
      </c>
      <c r="E22" s="23">
        <v>1</v>
      </c>
      <c r="F22" s="23">
        <v>1</v>
      </c>
      <c r="G22" s="24">
        <f>439.198592*E22*F22</f>
        <v>439.198592</v>
      </c>
      <c r="H22" s="24">
        <f>3.308846226*E22*F22</f>
        <v>3.308846226</v>
      </c>
      <c r="I22" s="24">
        <f t="shared" si="0"/>
        <v>0</v>
      </c>
      <c r="J22" s="24">
        <f>418.117059584*E22*F22</f>
        <v>418.117059584</v>
      </c>
      <c r="K22" s="24">
        <f>90.36557227005*E22*F22</f>
        <v>90.36557227005</v>
      </c>
      <c r="L22" s="24">
        <f>87.8397184*E22*F22</f>
        <v>87.8397184</v>
      </c>
      <c r="M22" s="92">
        <f t="shared" si="1"/>
        <v>1038.8297884800502</v>
      </c>
      <c r="N22" s="123">
        <f t="shared" si="2"/>
        <v>86.56914904000418</v>
      </c>
      <c r="O22" s="56">
        <f t="shared" si="4"/>
        <v>0.009515184550451108</v>
      </c>
      <c r="P22" s="73" t="s">
        <v>207</v>
      </c>
    </row>
    <row r="23" spans="2:16" ht="15.75" customHeight="1">
      <c r="B23" s="89">
        <v>19</v>
      </c>
      <c r="C23" s="59" t="s">
        <v>37</v>
      </c>
      <c r="D23" s="22" t="s">
        <v>38</v>
      </c>
      <c r="E23" s="23">
        <v>4</v>
      </c>
      <c r="F23" s="23">
        <v>4</v>
      </c>
      <c r="G23" s="24">
        <f>13.41312*E23*F23</f>
        <v>214.60992</v>
      </c>
      <c r="H23" s="24">
        <f aca="true" t="shared" si="5" ref="H23:H33">0*E23*F23</f>
        <v>0</v>
      </c>
      <c r="I23" s="24">
        <f t="shared" si="0"/>
        <v>0</v>
      </c>
      <c r="J23" s="24">
        <f>12.76929024*E23*F23</f>
        <v>204.30864384</v>
      </c>
      <c r="K23" s="24">
        <f>2.7491530752*E23*F23</f>
        <v>43.9864492032</v>
      </c>
      <c r="L23" s="24">
        <f>2.682624*E23*F23</f>
        <v>42.921984</v>
      </c>
      <c r="M23" s="92">
        <f t="shared" si="1"/>
        <v>505.8269970432</v>
      </c>
      <c r="N23" s="123">
        <f t="shared" si="2"/>
        <v>42.152249753599996</v>
      </c>
      <c r="O23" s="56">
        <f t="shared" si="4"/>
        <v>0.004633133628665641</v>
      </c>
      <c r="P23" s="73" t="s">
        <v>206</v>
      </c>
    </row>
    <row r="24" spans="2:16" ht="27.75" customHeight="1">
      <c r="B24" s="124">
        <v>20</v>
      </c>
      <c r="C24" s="59" t="s">
        <v>220</v>
      </c>
      <c r="D24" s="22" t="s">
        <v>39</v>
      </c>
      <c r="E24" s="23">
        <v>3</v>
      </c>
      <c r="F24" s="23">
        <v>12</v>
      </c>
      <c r="G24" s="24">
        <f>11.1776*E24*F24</f>
        <v>402.3936</v>
      </c>
      <c r="H24" s="24">
        <f t="shared" si="5"/>
        <v>0</v>
      </c>
      <c r="I24" s="24">
        <f t="shared" si="0"/>
        <v>0</v>
      </c>
      <c r="J24" s="24">
        <f>10.6410752*E24*F24</f>
        <v>383.0787072</v>
      </c>
      <c r="K24" s="24">
        <f>2.290960896*E24*F24</f>
        <v>82.47459225600001</v>
      </c>
      <c r="L24" s="24">
        <f>2.23552*E24*F24</f>
        <v>80.47872000000001</v>
      </c>
      <c r="M24" s="92">
        <f t="shared" si="1"/>
        <v>948.425619456</v>
      </c>
      <c r="N24" s="123">
        <f t="shared" si="2"/>
        <v>79.035468288</v>
      </c>
      <c r="O24" s="56">
        <f t="shared" si="4"/>
        <v>0.008687125553748077</v>
      </c>
      <c r="P24" s="73" t="s">
        <v>208</v>
      </c>
    </row>
    <row r="25" spans="2:16" ht="30" customHeight="1">
      <c r="B25" s="91">
        <v>21</v>
      </c>
      <c r="C25" s="59" t="s">
        <v>40</v>
      </c>
      <c r="D25" s="22" t="s">
        <v>41</v>
      </c>
      <c r="E25" s="23">
        <v>2</v>
      </c>
      <c r="F25" s="23">
        <v>1</v>
      </c>
      <c r="G25" s="24">
        <f>96.12736*E25*F25</f>
        <v>192.25472</v>
      </c>
      <c r="H25" s="24">
        <f t="shared" si="5"/>
        <v>0</v>
      </c>
      <c r="I25" s="24">
        <f t="shared" si="0"/>
        <v>0</v>
      </c>
      <c r="J25" s="24">
        <f>91.51324672*E25*F25</f>
        <v>183.02649344</v>
      </c>
      <c r="K25" s="24">
        <f>19.7022637056*E25*F25</f>
        <v>39.4045274112</v>
      </c>
      <c r="L25" s="24">
        <f>19.225472*E25*F25</f>
        <v>38.450944</v>
      </c>
      <c r="M25" s="92">
        <f t="shared" si="1"/>
        <v>453.13668485119996</v>
      </c>
      <c r="N25" s="123">
        <f t="shared" si="2"/>
        <v>37.76139040426666</v>
      </c>
      <c r="O25" s="56">
        <f t="shared" si="4"/>
        <v>0.004150515542346303</v>
      </c>
      <c r="P25" s="73" t="s">
        <v>221</v>
      </c>
    </row>
    <row r="26" spans="2:16" ht="32.25" customHeight="1">
      <c r="B26" s="89">
        <v>22</v>
      </c>
      <c r="C26" s="59" t="s">
        <v>42</v>
      </c>
      <c r="D26" s="22" t="s">
        <v>39</v>
      </c>
      <c r="E26" s="23">
        <v>3</v>
      </c>
      <c r="F26" s="23">
        <v>1</v>
      </c>
      <c r="G26" s="24">
        <f>25.21232*E26*F26</f>
        <v>75.63695999999999</v>
      </c>
      <c r="H26" s="24">
        <f t="shared" si="5"/>
        <v>0</v>
      </c>
      <c r="I26" s="24">
        <f t="shared" si="0"/>
        <v>0</v>
      </c>
      <c r="J26" s="24">
        <f>24.00212864*E26*F26</f>
        <v>72.00638592</v>
      </c>
      <c r="K26" s="24">
        <f>5.1675171072*E26*F26</f>
        <v>15.5025513216</v>
      </c>
      <c r="L26" s="24">
        <f>5.042464*E26*F26</f>
        <v>15.127392</v>
      </c>
      <c r="M26" s="92">
        <f t="shared" si="1"/>
        <v>178.27328924160003</v>
      </c>
      <c r="N26" s="123">
        <f t="shared" si="2"/>
        <v>14.856107436800002</v>
      </c>
      <c r="O26" s="56">
        <f t="shared" si="4"/>
        <v>0.0016328981574851619</v>
      </c>
      <c r="P26" s="73" t="s">
        <v>207</v>
      </c>
    </row>
    <row r="27" spans="2:16" ht="27.75" customHeight="1">
      <c r="B27" s="124">
        <v>23</v>
      </c>
      <c r="C27" s="59" t="s">
        <v>44</v>
      </c>
      <c r="D27" s="22" t="s">
        <v>41</v>
      </c>
      <c r="E27" s="23">
        <v>6</v>
      </c>
      <c r="F27" s="23">
        <v>1</v>
      </c>
      <c r="G27" s="24">
        <f>108.412976*E27*F27</f>
        <v>650.477856</v>
      </c>
      <c r="H27" s="24">
        <f t="shared" si="5"/>
        <v>0</v>
      </c>
      <c r="I27" s="24">
        <f t="shared" si="0"/>
        <v>0</v>
      </c>
      <c r="J27" s="24">
        <f>103.209153152*E27*F27</f>
        <v>619.254918912</v>
      </c>
      <c r="K27" s="24">
        <f>22.22032356096*E27*F27</f>
        <v>133.32194136576</v>
      </c>
      <c r="L27" s="24">
        <f>21.6825952*E27*F27</f>
        <v>130.0955712</v>
      </c>
      <c r="M27" s="92">
        <f t="shared" si="1"/>
        <v>1533.15028747776</v>
      </c>
      <c r="N27" s="123">
        <f t="shared" si="2"/>
        <v>127.76252395648</v>
      </c>
      <c r="O27" s="56">
        <f t="shared" si="4"/>
        <v>0.01404292415437239</v>
      </c>
      <c r="P27" s="73" t="s">
        <v>222</v>
      </c>
    </row>
    <row r="28" spans="2:16" ht="27.75" customHeight="1">
      <c r="B28" s="91">
        <v>24</v>
      </c>
      <c r="C28" s="59" t="s">
        <v>45</v>
      </c>
      <c r="D28" s="22" t="s">
        <v>43</v>
      </c>
      <c r="E28" s="23">
        <v>1</v>
      </c>
      <c r="F28" s="23">
        <v>1</v>
      </c>
      <c r="G28" s="24">
        <f>25.21232*E28*F28</f>
        <v>25.21232</v>
      </c>
      <c r="H28" s="24">
        <f t="shared" si="5"/>
        <v>0</v>
      </c>
      <c r="I28" s="24">
        <f t="shared" si="0"/>
        <v>0</v>
      </c>
      <c r="J28" s="24">
        <f>24.00212864*E28*F28</f>
        <v>24.00212864</v>
      </c>
      <c r="K28" s="24">
        <f>5.1675171072*E28*F28</f>
        <v>5.1675171072</v>
      </c>
      <c r="L28" s="24">
        <f>5.042464*E28*F28</f>
        <v>5.042464</v>
      </c>
      <c r="M28" s="92">
        <f t="shared" si="1"/>
        <v>59.4244297472</v>
      </c>
      <c r="N28" s="123">
        <f t="shared" si="2"/>
        <v>4.952035812266667</v>
      </c>
      <c r="O28" s="56">
        <f t="shared" si="4"/>
        <v>0.0005442993858283872</v>
      </c>
      <c r="P28" s="122" t="s">
        <v>207</v>
      </c>
    </row>
    <row r="29" spans="2:16" ht="30" customHeight="1">
      <c r="B29" s="89">
        <v>25</v>
      </c>
      <c r="C29" s="59" t="s">
        <v>203</v>
      </c>
      <c r="D29" s="22" t="s">
        <v>43</v>
      </c>
      <c r="E29" s="23">
        <v>1</v>
      </c>
      <c r="F29" s="23">
        <v>12</v>
      </c>
      <c r="G29" s="24">
        <f>19.45496*E29*F29</f>
        <v>233.45952</v>
      </c>
      <c r="H29" s="24">
        <f t="shared" si="5"/>
        <v>0</v>
      </c>
      <c r="I29" s="24">
        <f t="shared" si="0"/>
        <v>0</v>
      </c>
      <c r="J29" s="24">
        <f>18.52112192*E29*F29</f>
        <v>222.25346303999999</v>
      </c>
      <c r="K29" s="24">
        <f>3.9874886016*E29*F29</f>
        <v>47.8498632192</v>
      </c>
      <c r="L29" s="24">
        <f>3.890992*E29*F29</f>
        <v>46.691903999999994</v>
      </c>
      <c r="M29" s="92">
        <f t="shared" si="1"/>
        <v>550.2547502592</v>
      </c>
      <c r="N29" s="123">
        <f t="shared" si="2"/>
        <v>45.8545625216</v>
      </c>
      <c r="O29" s="56">
        <f t="shared" si="4"/>
        <v>0.005040070622290614</v>
      </c>
      <c r="P29" s="73" t="s">
        <v>208</v>
      </c>
    </row>
    <row r="30" spans="2:16" ht="30" customHeight="1" thickBot="1">
      <c r="B30" s="152"/>
      <c r="C30" s="22" t="s">
        <v>264</v>
      </c>
      <c r="D30" s="22" t="s">
        <v>43</v>
      </c>
      <c r="E30" s="23">
        <v>1</v>
      </c>
      <c r="F30" s="23">
        <v>12</v>
      </c>
      <c r="G30" s="24">
        <f>90.764352*E30*F30</f>
        <v>1089.172224</v>
      </c>
      <c r="H30" s="24">
        <f t="shared" si="5"/>
        <v>0</v>
      </c>
      <c r="I30" s="24">
        <f t="shared" si="0"/>
        <v>0</v>
      </c>
      <c r="J30" s="24">
        <f>86.407663104*E30*F30</f>
        <v>1036.891957248</v>
      </c>
      <c r="K30" s="24">
        <f>18.60306158592*E30*F30</f>
        <v>223.23673903103997</v>
      </c>
      <c r="L30" s="24">
        <f>18.1528704*E30*F30</f>
        <v>217.83444480000003</v>
      </c>
      <c r="M30" s="150">
        <f t="shared" si="1"/>
        <v>2567.1353650790397</v>
      </c>
      <c r="N30" s="151">
        <f t="shared" si="2"/>
        <v>213.92794708991997</v>
      </c>
      <c r="O30" s="151">
        <f t="shared" si="4"/>
        <v>0.023513733467786322</v>
      </c>
      <c r="P30" s="149" t="s">
        <v>263</v>
      </c>
    </row>
    <row r="31" spans="2:16" ht="30" customHeight="1" thickBot="1">
      <c r="B31" s="152"/>
      <c r="C31" s="22" t="s">
        <v>265</v>
      </c>
      <c r="D31" s="22" t="s">
        <v>39</v>
      </c>
      <c r="E31" s="23">
        <v>2</v>
      </c>
      <c r="F31" s="23">
        <v>12</v>
      </c>
      <c r="G31" s="24">
        <f>152.59188*E31*F31</f>
        <v>3662.20512</v>
      </c>
      <c r="H31" s="24">
        <f t="shared" si="5"/>
        <v>0</v>
      </c>
      <c r="I31" s="24">
        <f t="shared" si="0"/>
        <v>0</v>
      </c>
      <c r="J31" s="24">
        <f>145.26746976*E31*F31</f>
        <v>3486.41927424</v>
      </c>
      <c r="K31" s="24">
        <f>31.2752317248*E31*F31</f>
        <v>750.6055613952001</v>
      </c>
      <c r="L31" s="24">
        <f>30.518376*E31*F31</f>
        <v>732.441024</v>
      </c>
      <c r="M31" s="150">
        <f t="shared" si="1"/>
        <v>8631.6709796352</v>
      </c>
      <c r="N31" s="151">
        <f t="shared" si="2"/>
        <v>719.3059149696</v>
      </c>
      <c r="O31" s="151">
        <f t="shared" si="4"/>
        <v>0.07906198230046164</v>
      </c>
      <c r="P31" s="149" t="s">
        <v>263</v>
      </c>
    </row>
    <row r="32" spans="2:16" ht="24" customHeight="1">
      <c r="B32" s="124">
        <v>26</v>
      </c>
      <c r="C32" s="59" t="s">
        <v>209</v>
      </c>
      <c r="D32" s="22" t="s">
        <v>43</v>
      </c>
      <c r="E32" s="23">
        <v>2</v>
      </c>
      <c r="F32" s="23">
        <v>12</v>
      </c>
      <c r="G32" s="24">
        <f>233.45952*E32*F32</f>
        <v>5603.02848</v>
      </c>
      <c r="H32" s="24">
        <f t="shared" si="5"/>
        <v>0</v>
      </c>
      <c r="I32" s="24">
        <f t="shared" si="0"/>
        <v>0</v>
      </c>
      <c r="J32" s="24">
        <f>222.25346304*E32*F32</f>
        <v>5334.08311296</v>
      </c>
      <c r="K32" s="24">
        <f>47.8498632192*E32*F32</f>
        <v>1148.3967172608</v>
      </c>
      <c r="L32" s="24">
        <f>46.691904*E32*F32</f>
        <v>1120.605696</v>
      </c>
      <c r="M32" s="92">
        <f t="shared" si="1"/>
        <v>13206.114006220801</v>
      </c>
      <c r="N32" s="123">
        <f t="shared" si="2"/>
        <v>1100.5095005184</v>
      </c>
      <c r="O32" s="56">
        <f t="shared" si="4"/>
        <v>0.12096169493497473</v>
      </c>
      <c r="P32" s="73" t="s">
        <v>208</v>
      </c>
    </row>
    <row r="33" spans="2:16" ht="51.75" customHeight="1" thickBot="1">
      <c r="B33" s="91">
        <v>27</v>
      </c>
      <c r="C33" s="94" t="s">
        <v>46</v>
      </c>
      <c r="D33" s="95" t="s">
        <v>47</v>
      </c>
      <c r="E33" s="96">
        <v>9.098</v>
      </c>
      <c r="F33" s="96">
        <v>8</v>
      </c>
      <c r="G33" s="97">
        <f>1011.338272*E33*F33</f>
        <v>73609.244789248</v>
      </c>
      <c r="H33" s="97">
        <f t="shared" si="5"/>
        <v>0</v>
      </c>
      <c r="I33" s="97">
        <f t="shared" si="0"/>
        <v>0</v>
      </c>
      <c r="J33" s="97">
        <f>962.794034944*E33*F33</f>
        <v>70076.0010393641</v>
      </c>
      <c r="K33" s="97">
        <f>207.28389222912*E33*F33</f>
        <v>15086.950812004272</v>
      </c>
      <c r="L33" s="97">
        <f>202.2676544*E33*F33</f>
        <v>14721.848957849601</v>
      </c>
      <c r="M33" s="98">
        <f t="shared" si="1"/>
        <v>173494.04559846598</v>
      </c>
      <c r="N33" s="135">
        <f t="shared" si="2"/>
        <v>14457.837133205498</v>
      </c>
      <c r="O33" s="75">
        <f t="shared" si="4"/>
        <v>1.5891225690487467</v>
      </c>
      <c r="P33" s="149" t="s">
        <v>219</v>
      </c>
    </row>
    <row r="34" spans="2:16" ht="13.5" thickBot="1">
      <c r="B34" s="168" t="s">
        <v>48</v>
      </c>
      <c r="C34" s="169"/>
      <c r="D34" s="169"/>
      <c r="E34" s="169"/>
      <c r="F34" s="170"/>
      <c r="G34" s="79">
        <f aca="true" t="shared" si="6" ref="G34:M34">SUM(G5:G33)</f>
        <v>150325.54202641713</v>
      </c>
      <c r="H34" s="80">
        <f t="shared" si="6"/>
        <v>28483.890460452</v>
      </c>
      <c r="I34" s="80">
        <f t="shared" si="6"/>
        <v>0</v>
      </c>
      <c r="J34" s="80">
        <f t="shared" si="6"/>
        <v>143109.9160091491</v>
      </c>
      <c r="K34" s="80">
        <f t="shared" si="6"/>
        <v>33801.53159208191</v>
      </c>
      <c r="L34" s="81">
        <f t="shared" si="6"/>
        <v>30065.108405283427</v>
      </c>
      <c r="M34" s="82">
        <f t="shared" si="6"/>
        <v>385785.9884933835</v>
      </c>
      <c r="N34" s="67">
        <f>SUM(N5:N33)</f>
        <v>32148.832374448633</v>
      </c>
      <c r="O34" s="67">
        <f>SUM(O5:O33)</f>
        <v>3.5336153412231956</v>
      </c>
      <c r="P34" s="68"/>
    </row>
    <row r="35" spans="2:16" ht="19.5" customHeight="1" thickBot="1">
      <c r="B35" s="171" t="s">
        <v>49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66"/>
      <c r="O35" s="166"/>
      <c r="P35" s="167"/>
    </row>
    <row r="36" spans="2:16" ht="40.5" customHeight="1" thickBot="1">
      <c r="B36" s="83">
        <v>28</v>
      </c>
      <c r="C36" s="84" t="s">
        <v>242</v>
      </c>
      <c r="D36" s="85" t="s">
        <v>50</v>
      </c>
      <c r="E36" s="86">
        <v>1.2982</v>
      </c>
      <c r="F36" s="86">
        <v>240</v>
      </c>
      <c r="G36" s="87">
        <f>120.9158496*E36*F36</f>
        <v>37673.5094281728</v>
      </c>
      <c r="H36" s="87">
        <f>3.00606964*E36*F36</f>
        <v>936.5951055955201</v>
      </c>
      <c r="I36" s="87">
        <f aca="true" t="shared" si="7" ref="I36:I51">0*E36*F36</f>
        <v>0</v>
      </c>
      <c r="J36" s="87">
        <f>115.1118888192*E36*F36</f>
        <v>35865.18097562051</v>
      </c>
      <c r="K36" s="87">
        <f>25.098549846216*E36*F36</f>
        <v>7819.904978485826</v>
      </c>
      <c r="L36" s="87">
        <f>24.18316992*E36*F36</f>
        <v>7534.70188563456</v>
      </c>
      <c r="M36" s="88">
        <f aca="true" t="shared" si="8" ref="M36:M64">SUM(G36:L36)</f>
        <v>89829.89237350921</v>
      </c>
      <c r="N36" s="69">
        <f aca="true" t="shared" si="9" ref="N36:N64">M36/12</f>
        <v>7485.824364459101</v>
      </c>
      <c r="O36" s="70">
        <f>N36/9098</f>
        <v>0.8227988969508795</v>
      </c>
      <c r="P36" s="122" t="s">
        <v>240</v>
      </c>
    </row>
    <row r="37" spans="2:16" s="45" customFormat="1" ht="45" customHeight="1" thickBot="1">
      <c r="B37" s="89">
        <v>29</v>
      </c>
      <c r="C37" s="84" t="s">
        <v>243</v>
      </c>
      <c r="D37" s="41" t="s">
        <v>51</v>
      </c>
      <c r="E37" s="42">
        <v>22.201</v>
      </c>
      <c r="F37" s="42">
        <v>48</v>
      </c>
      <c r="G37" s="43">
        <f>105.5841696*E37*F37</f>
        <v>112515.5591659008</v>
      </c>
      <c r="H37" s="43">
        <f>2.91582536*E37*F37</f>
        <v>3107.2434632332797</v>
      </c>
      <c r="I37" s="43">
        <f t="shared" si="7"/>
        <v>0</v>
      </c>
      <c r="J37" s="43">
        <f>100.5161294592*E37*F37</f>
        <v>107114.81232593756</v>
      </c>
      <c r="K37" s="43">
        <f>21.946693064016*E37*F37</f>
        <v>23387.449570282522</v>
      </c>
      <c r="L37" s="43">
        <f>21.11683392*E37*F37</f>
        <v>22503.111833180163</v>
      </c>
      <c r="M37" s="90">
        <f t="shared" si="8"/>
        <v>268628.1763585344</v>
      </c>
      <c r="N37" s="72">
        <f t="shared" si="9"/>
        <v>22385.6813632112</v>
      </c>
      <c r="O37" s="56">
        <f aca="true" t="shared" si="10" ref="O37:O64">N37/9098</f>
        <v>2.46050575546397</v>
      </c>
      <c r="P37" s="122" t="s">
        <v>268</v>
      </c>
    </row>
    <row r="38" spans="2:16" ht="39" customHeight="1">
      <c r="B38" s="83">
        <v>30</v>
      </c>
      <c r="C38" s="59" t="s">
        <v>52</v>
      </c>
      <c r="D38" s="22" t="s">
        <v>53</v>
      </c>
      <c r="E38" s="23">
        <v>0.132</v>
      </c>
      <c r="F38" s="23">
        <v>240</v>
      </c>
      <c r="G38" s="24">
        <f>102.2112*E38*F38</f>
        <v>3238.0508160000004</v>
      </c>
      <c r="H38" s="24">
        <f>2.9151423*E38*F38</f>
        <v>92.351708064</v>
      </c>
      <c r="I38" s="24">
        <f t="shared" si="7"/>
        <v>0</v>
      </c>
      <c r="J38" s="24">
        <f>97.3050624*E38*F38</f>
        <v>3082.624376832</v>
      </c>
      <c r="K38" s="24">
        <f>21.2552974935*E38*F38</f>
        <v>673.36782459408</v>
      </c>
      <c r="L38" s="24">
        <f>20.44224*E38*F38</f>
        <v>647.6101632000001</v>
      </c>
      <c r="M38" s="92">
        <f t="shared" si="8"/>
        <v>7734.00488869008</v>
      </c>
      <c r="N38" s="72">
        <f t="shared" si="9"/>
        <v>644.50040739084</v>
      </c>
      <c r="O38" s="56">
        <f t="shared" si="10"/>
        <v>0.07083978977696637</v>
      </c>
      <c r="P38" s="122" t="s">
        <v>240</v>
      </c>
    </row>
    <row r="39" spans="2:16" ht="27" customHeight="1" thickBot="1">
      <c r="B39" s="89">
        <v>31</v>
      </c>
      <c r="C39" s="59" t="s">
        <v>54</v>
      </c>
      <c r="D39" s="22" t="s">
        <v>55</v>
      </c>
      <c r="E39" s="23">
        <v>6.38</v>
      </c>
      <c r="F39" s="23">
        <v>1</v>
      </c>
      <c r="G39" s="24">
        <f>91.99008*E39*F39</f>
        <v>586.8967104000001</v>
      </c>
      <c r="H39" s="24">
        <f>1.71732730694*E39*F39</f>
        <v>10.956548218277199</v>
      </c>
      <c r="I39" s="24">
        <f t="shared" si="7"/>
        <v>0</v>
      </c>
      <c r="J39" s="24">
        <f>87.57455616*E39*F39</f>
        <v>558.7256683008</v>
      </c>
      <c r="K39" s="24">
        <f>19.034606164029*E39*F39</f>
        <v>121.44078732650502</v>
      </c>
      <c r="L39" s="24">
        <f>18.398016*E39*F39</f>
        <v>117.37934207999999</v>
      </c>
      <c r="M39" s="92">
        <f t="shared" si="8"/>
        <v>1395.3990563255823</v>
      </c>
      <c r="N39" s="72">
        <f t="shared" si="9"/>
        <v>116.28325469379853</v>
      </c>
      <c r="O39" s="56">
        <f t="shared" si="10"/>
        <v>0.012781188689140308</v>
      </c>
      <c r="P39" s="122" t="s">
        <v>267</v>
      </c>
    </row>
    <row r="40" spans="2:16" ht="27" customHeight="1">
      <c r="B40" s="83">
        <v>32</v>
      </c>
      <c r="C40" s="22" t="s">
        <v>261</v>
      </c>
      <c r="D40" s="22" t="s">
        <v>262</v>
      </c>
      <c r="E40" s="23">
        <v>24.747</v>
      </c>
      <c r="F40" s="23">
        <v>1</v>
      </c>
      <c r="G40" s="24">
        <f>107.32176*E40*F40</f>
        <v>2655.89159472</v>
      </c>
      <c r="H40" s="24">
        <f>2.7783*E40*F40</f>
        <v>68.7545901</v>
      </c>
      <c r="I40" s="24">
        <f t="shared" si="7"/>
        <v>0</v>
      </c>
      <c r="J40" s="24">
        <f>102.17031552*E40*F40</f>
        <v>2528.40879817344</v>
      </c>
      <c r="K40" s="24">
        <f>22.2883894296*E40*F40</f>
        <v>551.5707732143112</v>
      </c>
      <c r="L40" s="24">
        <f>21.464352*E40*F40</f>
        <v>531.178318944</v>
      </c>
      <c r="M40" s="150">
        <f t="shared" si="8"/>
        <v>6335.804075151751</v>
      </c>
      <c r="N40" s="151">
        <f t="shared" si="9"/>
        <v>527.9836729293125</v>
      </c>
      <c r="O40" s="151">
        <f t="shared" si="10"/>
        <v>0.058032938330326723</v>
      </c>
      <c r="P40" s="122" t="s">
        <v>267</v>
      </c>
    </row>
    <row r="41" spans="2:16" ht="13.5" thickBot="1">
      <c r="B41" s="89">
        <v>33</v>
      </c>
      <c r="C41" s="59" t="s">
        <v>56</v>
      </c>
      <c r="D41" s="22" t="s">
        <v>57</v>
      </c>
      <c r="E41" s="23">
        <v>0.503</v>
      </c>
      <c r="F41" s="23">
        <v>12</v>
      </c>
      <c r="G41" s="24">
        <f>231.6787203407*E41*F41</f>
        <v>1398.4127559764652</v>
      </c>
      <c r="H41" s="24">
        <f>20.828425672516*E41*F41</f>
        <v>125.72037735930658</v>
      </c>
      <c r="I41" s="24">
        <f t="shared" si="7"/>
        <v>0</v>
      </c>
      <c r="J41" s="24">
        <f>220.55814176435*E41*F41</f>
        <v>1331.2889436896166</v>
      </c>
      <c r="K41" s="24">
        <f>49.671855216645*E41*F41</f>
        <v>299.8193180876692</v>
      </c>
      <c r="L41" s="24">
        <f>46.335744068141*E41*F41</f>
        <v>279.6825511952991</v>
      </c>
      <c r="M41" s="92">
        <f t="shared" si="8"/>
        <v>3434.923946308357</v>
      </c>
      <c r="N41" s="72">
        <f t="shared" si="9"/>
        <v>286.24366219236305</v>
      </c>
      <c r="O41" s="56">
        <f t="shared" si="10"/>
        <v>0.0314622622765842</v>
      </c>
      <c r="P41" s="73" t="s">
        <v>208</v>
      </c>
    </row>
    <row r="42" spans="2:16" ht="12.75">
      <c r="B42" s="83">
        <v>34</v>
      </c>
      <c r="C42" s="59" t="s">
        <v>58</v>
      </c>
      <c r="D42" s="22" t="s">
        <v>59</v>
      </c>
      <c r="E42" s="23">
        <v>2.4323</v>
      </c>
      <c r="F42" s="23">
        <v>1</v>
      </c>
      <c r="G42" s="24">
        <f>233.3822396593*E42*F42</f>
        <v>567.6556215233154</v>
      </c>
      <c r="H42" s="24">
        <f>15.220283573488*E42*F42</f>
        <v>37.02029573579487</v>
      </c>
      <c r="I42" s="24">
        <f t="shared" si="7"/>
        <v>0</v>
      </c>
      <c r="J42" s="24">
        <f>222.17989215565*E42*F42</f>
        <v>540.4081516901875</v>
      </c>
      <c r="K42" s="24">
        <f>49.432153615786*E42*F42</f>
        <v>120.23382723967629</v>
      </c>
      <c r="L42" s="24">
        <f>46.676447931859*E42*F42</f>
        <v>113.53112430466065</v>
      </c>
      <c r="M42" s="92">
        <f t="shared" si="8"/>
        <v>1378.8490204936347</v>
      </c>
      <c r="N42" s="72">
        <f t="shared" si="9"/>
        <v>114.90408504113623</v>
      </c>
      <c r="O42" s="56">
        <f t="shared" si="10"/>
        <v>0.012629598267876041</v>
      </c>
      <c r="P42" s="122" t="s">
        <v>267</v>
      </c>
    </row>
    <row r="43" spans="2:16" ht="25.5" customHeight="1" thickBot="1">
      <c r="B43" s="89">
        <v>35</v>
      </c>
      <c r="C43" s="59" t="s">
        <v>60</v>
      </c>
      <c r="D43" s="22" t="s">
        <v>61</v>
      </c>
      <c r="E43" s="23">
        <v>1.7989</v>
      </c>
      <c r="F43" s="23">
        <v>1</v>
      </c>
      <c r="G43" s="24">
        <f>342.40752*E43*F43</f>
        <v>615.956887728</v>
      </c>
      <c r="H43" s="24">
        <f>29.762271482048*E43*F43</f>
        <v>53.53935016905614</v>
      </c>
      <c r="I43" s="24">
        <f t="shared" si="7"/>
        <v>0</v>
      </c>
      <c r="J43" s="24">
        <f>325.97195904*E43*F43</f>
        <v>586.390957117056</v>
      </c>
      <c r="K43" s="24">
        <f>73.304883804815*E43*F43</f>
        <v>131.86815547648172</v>
      </c>
      <c r="L43" s="24">
        <f>68.481504*E43*F43</f>
        <v>123.19137754559999</v>
      </c>
      <c r="M43" s="92">
        <f t="shared" si="8"/>
        <v>1510.9467280361937</v>
      </c>
      <c r="N43" s="72">
        <f t="shared" si="9"/>
        <v>125.91222733634947</v>
      </c>
      <c r="O43" s="56">
        <f t="shared" si="10"/>
        <v>0.013839550157875299</v>
      </c>
      <c r="P43" s="122" t="s">
        <v>267</v>
      </c>
    </row>
    <row r="44" spans="2:16" ht="13.5" customHeight="1">
      <c r="B44" s="83">
        <v>36</v>
      </c>
      <c r="C44" s="59" t="s">
        <v>62</v>
      </c>
      <c r="D44" s="22" t="s">
        <v>63</v>
      </c>
      <c r="E44" s="23">
        <v>13.844</v>
      </c>
      <c r="F44" s="23">
        <v>1</v>
      </c>
      <c r="G44" s="24">
        <f>39.180959659296*E44*F44</f>
        <v>542.4212055232938</v>
      </c>
      <c r="H44" s="24">
        <f>0.216751376128*E44*F44</f>
        <v>3.000706051116032</v>
      </c>
      <c r="I44" s="24">
        <f t="shared" si="7"/>
        <v>0</v>
      </c>
      <c r="J44" s="24">
        <f>37.30027359565*E44*F44</f>
        <v>516.3849876581785</v>
      </c>
      <c r="K44" s="24">
        <f>8.0532883862628*E44*F44</f>
        <v>111.48972441942219</v>
      </c>
      <c r="L44" s="24">
        <f>7.8361919318592*E44*F44</f>
        <v>108.48424110465876</v>
      </c>
      <c r="M44" s="92">
        <f t="shared" si="8"/>
        <v>1281.7808647566694</v>
      </c>
      <c r="N44" s="72">
        <f t="shared" si="9"/>
        <v>106.81507206305578</v>
      </c>
      <c r="O44" s="56">
        <f t="shared" si="10"/>
        <v>0.01174050033667353</v>
      </c>
      <c r="P44" s="122" t="s">
        <v>267</v>
      </c>
    </row>
    <row r="45" spans="2:16" ht="13.5" customHeight="1" thickBot="1">
      <c r="B45" s="89">
        <v>37</v>
      </c>
      <c r="C45" s="77" t="s">
        <v>238</v>
      </c>
      <c r="D45" s="41" t="s">
        <v>239</v>
      </c>
      <c r="E45" s="42">
        <v>0.2632</v>
      </c>
      <c r="F45" s="42">
        <v>1</v>
      </c>
      <c r="G45" s="43">
        <f>109.365984*E45*F45</f>
        <v>28.7851269888</v>
      </c>
      <c r="H45" s="43">
        <f>34.90858*E45*F45</f>
        <v>9.187938255999999</v>
      </c>
      <c r="I45" s="43">
        <f>0*E45*F45</f>
        <v>0</v>
      </c>
      <c r="J45" s="43">
        <f>104.116416768*E45*F45</f>
        <v>27.403440893337596</v>
      </c>
      <c r="K45" s="43">
        <f>26.08105298064*E45*F45</f>
        <v>6.864533144504447</v>
      </c>
      <c r="L45" s="43">
        <f>21.8731968*E45*F45</f>
        <v>5.75702539776</v>
      </c>
      <c r="M45" s="90">
        <f>SUM(G45:L45)</f>
        <v>77.99806468040204</v>
      </c>
      <c r="N45" s="72">
        <f>M45/12</f>
        <v>6.499838723366836</v>
      </c>
      <c r="O45" s="56">
        <f>N45/9098</f>
        <v>0.000714425008064062</v>
      </c>
      <c r="P45" s="122" t="s">
        <v>267</v>
      </c>
    </row>
    <row r="46" spans="2:16" s="45" customFormat="1" ht="12.75" customHeight="1">
      <c r="B46" s="83">
        <v>38</v>
      </c>
      <c r="C46" s="77" t="s">
        <v>197</v>
      </c>
      <c r="D46" s="41" t="s">
        <v>64</v>
      </c>
      <c r="E46" s="42">
        <v>0.5222</v>
      </c>
      <c r="F46" s="42">
        <v>1</v>
      </c>
      <c r="G46" s="43">
        <f>109.365984*E46*F46</f>
        <v>57.110916844799995</v>
      </c>
      <c r="H46" s="43">
        <f>34.90858*E46*F46</f>
        <v>18.229260476</v>
      </c>
      <c r="I46" s="43">
        <f t="shared" si="7"/>
        <v>0</v>
      </c>
      <c r="J46" s="43">
        <f>104.116416768*E46*F46</f>
        <v>54.369592836249595</v>
      </c>
      <c r="K46" s="43">
        <f>26.08105298064*E46*F46</f>
        <v>13.619525866490207</v>
      </c>
      <c r="L46" s="43">
        <f>21.8731968*E46*F46</f>
        <v>11.422183368959999</v>
      </c>
      <c r="M46" s="90">
        <f t="shared" si="8"/>
        <v>154.75147939249982</v>
      </c>
      <c r="N46" s="72">
        <f t="shared" si="9"/>
        <v>12.895956616041651</v>
      </c>
      <c r="O46" s="56">
        <f t="shared" si="10"/>
        <v>0.0014174496170632723</v>
      </c>
      <c r="P46" s="122" t="s">
        <v>267</v>
      </c>
    </row>
    <row r="47" spans="2:16" s="45" customFormat="1" ht="36.75" customHeight="1" thickBot="1">
      <c r="B47" s="89">
        <v>39</v>
      </c>
      <c r="C47" s="77" t="s">
        <v>198</v>
      </c>
      <c r="D47" s="41" t="s">
        <v>65</v>
      </c>
      <c r="E47" s="42">
        <v>0.3478</v>
      </c>
      <c r="F47" s="42">
        <v>1</v>
      </c>
      <c r="G47" s="43">
        <f>137.98512*E47*F47</f>
        <v>47.991224736</v>
      </c>
      <c r="H47" s="43">
        <f>34.90858*E47*F47</f>
        <v>12.141204124</v>
      </c>
      <c r="I47" s="43">
        <f t="shared" si="7"/>
        <v>0</v>
      </c>
      <c r="J47" s="43">
        <f>131.36183424*E47*F47</f>
        <v>45.687645948672</v>
      </c>
      <c r="K47" s="43">
        <f>31.9468310952*E47*F47</f>
        <v>11.11110785491056</v>
      </c>
      <c r="L47" s="43">
        <f>27.597024*E47*F47</f>
        <v>9.5982449472</v>
      </c>
      <c r="M47" s="90">
        <f t="shared" si="8"/>
        <v>126.52942761078255</v>
      </c>
      <c r="N47" s="72">
        <f t="shared" si="9"/>
        <v>10.544118967565213</v>
      </c>
      <c r="O47" s="56">
        <f t="shared" si="10"/>
        <v>0.0011589491061293924</v>
      </c>
      <c r="P47" s="122" t="s">
        <v>267</v>
      </c>
    </row>
    <row r="48" spans="2:16" s="45" customFormat="1" ht="12.75">
      <c r="B48" s="83">
        <v>40</v>
      </c>
      <c r="C48" s="77" t="s">
        <v>199</v>
      </c>
      <c r="D48" s="41" t="s">
        <v>66</v>
      </c>
      <c r="E48" s="42">
        <v>0.1344</v>
      </c>
      <c r="F48" s="42">
        <v>12</v>
      </c>
      <c r="G48" s="43">
        <f>186.024384*E48*F48</f>
        <v>300.0201265152</v>
      </c>
      <c r="H48" s="43">
        <f>34.90858*E48*F48</f>
        <v>56.300557824</v>
      </c>
      <c r="I48" s="43">
        <f t="shared" si="7"/>
        <v>0</v>
      </c>
      <c r="J48" s="43">
        <f>177.095213568*E48*F48</f>
        <v>285.6191604424704</v>
      </c>
      <c r="K48" s="43">
        <f>41.79295864464*E48*F48</f>
        <v>67.4036837020754</v>
      </c>
      <c r="L48" s="43">
        <f>37.2048768*E48*F48</f>
        <v>60.004025303039995</v>
      </c>
      <c r="M48" s="90">
        <f t="shared" si="8"/>
        <v>769.3475537867857</v>
      </c>
      <c r="N48" s="72">
        <f t="shared" si="9"/>
        <v>64.1122961488988</v>
      </c>
      <c r="O48" s="56">
        <f t="shared" si="10"/>
        <v>0.007046856028676501</v>
      </c>
      <c r="P48" s="73" t="s">
        <v>208</v>
      </c>
    </row>
    <row r="49" spans="2:16" s="45" customFormat="1" ht="26.25" thickBot="1">
      <c r="B49" s="89">
        <v>41</v>
      </c>
      <c r="C49" s="77" t="s">
        <v>200</v>
      </c>
      <c r="D49" s="41" t="s">
        <v>67</v>
      </c>
      <c r="E49" s="42">
        <v>0.2324</v>
      </c>
      <c r="F49" s="42">
        <v>1</v>
      </c>
      <c r="G49" s="43">
        <f>291.30192*E49*F49</f>
        <v>67.698566208</v>
      </c>
      <c r="H49" s="43">
        <f>34.90858*E49*F49</f>
        <v>8.112753992</v>
      </c>
      <c r="I49" s="43">
        <f t="shared" si="7"/>
        <v>0</v>
      </c>
      <c r="J49" s="43">
        <f>277.31942784*E49*F49</f>
        <v>64.449035030016</v>
      </c>
      <c r="K49" s="43">
        <f>63.3706424232*E49*F49</f>
        <v>14.72733729915168</v>
      </c>
      <c r="L49" s="43">
        <f>58.260384*E49*F49</f>
        <v>13.5397132416</v>
      </c>
      <c r="M49" s="90">
        <f t="shared" si="8"/>
        <v>168.52740577076767</v>
      </c>
      <c r="N49" s="72">
        <f t="shared" si="9"/>
        <v>14.043950480897307</v>
      </c>
      <c r="O49" s="56">
        <f t="shared" si="10"/>
        <v>0.0015436305210922519</v>
      </c>
      <c r="P49" s="122" t="s">
        <v>267</v>
      </c>
    </row>
    <row r="50" spans="2:16" ht="24.75" customHeight="1">
      <c r="B50" s="83">
        <v>42</v>
      </c>
      <c r="C50" s="59" t="s">
        <v>68</v>
      </c>
      <c r="D50" s="22" t="s">
        <v>69</v>
      </c>
      <c r="E50" s="23">
        <v>2.24</v>
      </c>
      <c r="F50" s="23">
        <v>72</v>
      </c>
      <c r="G50" s="24">
        <f>157.3474*E50*F50</f>
        <v>25376.988672000003</v>
      </c>
      <c r="H50" s="24">
        <f>3.24319534*E50*F50</f>
        <v>523.0625444352002</v>
      </c>
      <c r="I50" s="24">
        <f t="shared" si="7"/>
        <v>0</v>
      </c>
      <c r="J50" s="24">
        <f>149.7947248*E50*F50</f>
        <v>24158.893215744003</v>
      </c>
      <c r="K50" s="24">
        <f>32.5904586147*E50*F50</f>
        <v>5256.189165378816</v>
      </c>
      <c r="L50" s="24">
        <f>31.46948*E50*F50</f>
        <v>5075.3977344</v>
      </c>
      <c r="M50" s="92">
        <f t="shared" si="8"/>
        <v>60390.53133195803</v>
      </c>
      <c r="N50" s="72">
        <f t="shared" si="9"/>
        <v>5032.544277663169</v>
      </c>
      <c r="O50" s="56">
        <f t="shared" si="10"/>
        <v>0.5531484147794207</v>
      </c>
      <c r="P50" s="73" t="s">
        <v>211</v>
      </c>
    </row>
    <row r="51" spans="2:16" ht="24.75" thickBot="1">
      <c r="B51" s="89">
        <v>43</v>
      </c>
      <c r="C51" s="59" t="s">
        <v>70</v>
      </c>
      <c r="D51" s="22" t="s">
        <v>71</v>
      </c>
      <c r="E51" s="23">
        <v>0.009</v>
      </c>
      <c r="F51" s="23">
        <v>72</v>
      </c>
      <c r="G51" s="24">
        <f>109923.6474*E51*F51</f>
        <v>71230.5235152</v>
      </c>
      <c r="H51" s="24">
        <f>705.73914432*E51*F51</f>
        <v>457.31896551935995</v>
      </c>
      <c r="I51" s="24">
        <f t="shared" si="7"/>
        <v>0</v>
      </c>
      <c r="J51" s="24">
        <f>104647.3123248*E51*F51</f>
        <v>67811.45838647039</v>
      </c>
      <c r="K51" s="24">
        <f>22604.053381258*E51*F51</f>
        <v>14647.426591055182</v>
      </c>
      <c r="L51" s="24">
        <f>21984.72948*E51*F51</f>
        <v>14246.104703039999</v>
      </c>
      <c r="M51" s="92">
        <f t="shared" si="8"/>
        <v>168392.83216128492</v>
      </c>
      <c r="N51" s="72">
        <f t="shared" si="9"/>
        <v>14032.73601344041</v>
      </c>
      <c r="O51" s="56">
        <f t="shared" si="10"/>
        <v>1.542397891123369</v>
      </c>
      <c r="P51" s="122" t="s">
        <v>259</v>
      </c>
    </row>
    <row r="52" spans="2:16" ht="24">
      <c r="B52" s="83">
        <v>44</v>
      </c>
      <c r="C52" s="59" t="s">
        <v>72</v>
      </c>
      <c r="D52" s="22" t="s">
        <v>73</v>
      </c>
      <c r="E52" s="23">
        <v>8.59</v>
      </c>
      <c r="F52" s="23">
        <v>5</v>
      </c>
      <c r="G52" s="24">
        <f>109.54048*E52*F52</f>
        <v>4704.763616</v>
      </c>
      <c r="H52" s="24">
        <f>80.55545904*E52*F52</f>
        <v>3459.856965768</v>
      </c>
      <c r="I52" s="24">
        <f>40.692*E52*F52</f>
        <v>1747.7214000000001</v>
      </c>
      <c r="J52" s="24">
        <f>104.28253696*E52*F52</f>
        <v>4478.934962432</v>
      </c>
      <c r="K52" s="24">
        <f>35.18239998*E52*F52</f>
        <v>1511.0840791409998</v>
      </c>
      <c r="L52" s="24">
        <f>21.908096*E52*F52</f>
        <v>940.9527232</v>
      </c>
      <c r="M52" s="92">
        <f t="shared" si="8"/>
        <v>16843.313746541</v>
      </c>
      <c r="N52" s="72">
        <f t="shared" si="9"/>
        <v>1403.6094788784167</v>
      </c>
      <c r="O52" s="56">
        <f t="shared" si="10"/>
        <v>0.15427670684528652</v>
      </c>
      <c r="P52" s="122" t="s">
        <v>214</v>
      </c>
    </row>
    <row r="53" spans="2:16" ht="14.25" customHeight="1" thickBot="1">
      <c r="B53" s="89">
        <v>45</v>
      </c>
      <c r="C53" s="59" t="s">
        <v>74</v>
      </c>
      <c r="D53" s="22" t="s">
        <v>75</v>
      </c>
      <c r="E53" s="23">
        <v>0.05</v>
      </c>
      <c r="F53" s="23">
        <v>144</v>
      </c>
      <c r="G53" s="24">
        <f>749.049*E53*F53</f>
        <v>5393.1528</v>
      </c>
      <c r="H53" s="24">
        <f>4.8048567*E53*F53</f>
        <v>34.59496824</v>
      </c>
      <c r="I53" s="24">
        <f aca="true" t="shared" si="11" ref="I53:I58">0*E53*F53</f>
        <v>0</v>
      </c>
      <c r="J53" s="24">
        <f>713.094648*E53*F53</f>
        <v>5134.2814656</v>
      </c>
      <c r="K53" s="24">
        <f>154.0295929935*E53*F53</f>
        <v>1109.0130695532</v>
      </c>
      <c r="L53" s="24">
        <f>149.8098*E53*F53</f>
        <v>1078.63056</v>
      </c>
      <c r="M53" s="92">
        <f t="shared" si="8"/>
        <v>12749.6728633932</v>
      </c>
      <c r="N53" s="72">
        <f t="shared" si="9"/>
        <v>1062.4727386161</v>
      </c>
      <c r="O53" s="56">
        <f t="shared" si="10"/>
        <v>0.11678091213630469</v>
      </c>
      <c r="P53" s="122" t="s">
        <v>210</v>
      </c>
    </row>
    <row r="54" spans="2:16" ht="24">
      <c r="B54" s="83">
        <v>46</v>
      </c>
      <c r="C54" s="59" t="s">
        <v>76</v>
      </c>
      <c r="D54" s="22" t="s">
        <v>77</v>
      </c>
      <c r="E54" s="23">
        <v>0.83</v>
      </c>
      <c r="F54" s="23">
        <v>120</v>
      </c>
      <c r="G54" s="24">
        <f>204.4574*E54*F54</f>
        <v>20363.95704</v>
      </c>
      <c r="H54" s="24">
        <f>4.70463112*E54*F54</f>
        <v>468.581259552</v>
      </c>
      <c r="I54" s="24">
        <f t="shared" si="11"/>
        <v>0</v>
      </c>
      <c r="J54" s="24">
        <f>194.6434448*E54*F54</f>
        <v>19386.48710208</v>
      </c>
      <c r="K54" s="24">
        <f>42.3995749716*E54*F54</f>
        <v>4222.99766717136</v>
      </c>
      <c r="L54" s="24">
        <f>40.89148*E54*F54</f>
        <v>4072.791408</v>
      </c>
      <c r="M54" s="92">
        <f t="shared" si="8"/>
        <v>48514.81447680335</v>
      </c>
      <c r="N54" s="72">
        <f t="shared" si="9"/>
        <v>4042.9012064002795</v>
      </c>
      <c r="O54" s="56">
        <f t="shared" si="10"/>
        <v>0.4443725221367641</v>
      </c>
      <c r="P54" s="122" t="s">
        <v>252</v>
      </c>
    </row>
    <row r="55" spans="2:16" ht="30" customHeight="1" thickBot="1">
      <c r="B55" s="89">
        <v>47</v>
      </c>
      <c r="C55" s="59" t="s">
        <v>78</v>
      </c>
      <c r="D55" s="22" t="s">
        <v>79</v>
      </c>
      <c r="E55" s="23">
        <v>0.098</v>
      </c>
      <c r="F55" s="23">
        <v>72</v>
      </c>
      <c r="G55" s="24">
        <f>2512.8474*E55*F55</f>
        <v>17730.651254400003</v>
      </c>
      <c r="H55" s="24">
        <f>59.482472*E55*F55</f>
        <v>419.708322432</v>
      </c>
      <c r="I55" s="24">
        <f t="shared" si="11"/>
        <v>0</v>
      </c>
      <c r="J55" s="24">
        <f>2392.2307248*E55*F55</f>
        <v>16879.579994188804</v>
      </c>
      <c r="K55" s="24">
        <f>521.278862664*E55*F55</f>
        <v>3678.143654957184</v>
      </c>
      <c r="L55" s="24">
        <f>502.56948*E55*F55</f>
        <v>3546.1302508800004</v>
      </c>
      <c r="M55" s="92">
        <f t="shared" si="8"/>
        <v>42254.213476857985</v>
      </c>
      <c r="N55" s="72">
        <f t="shared" si="9"/>
        <v>3521.184456404832</v>
      </c>
      <c r="O55" s="56">
        <f t="shared" si="10"/>
        <v>0.38702840804625543</v>
      </c>
      <c r="P55" s="73" t="s">
        <v>229</v>
      </c>
    </row>
    <row r="56" spans="2:16" ht="36">
      <c r="B56" s="83">
        <v>48</v>
      </c>
      <c r="C56" s="59" t="s">
        <v>80</v>
      </c>
      <c r="D56" s="22" t="s">
        <v>79</v>
      </c>
      <c r="E56" s="23">
        <v>0.098</v>
      </c>
      <c r="F56" s="23">
        <v>20</v>
      </c>
      <c r="G56" s="24">
        <f>11149.0526*E56*F56</f>
        <v>21852.143096000003</v>
      </c>
      <c r="H56" s="24">
        <f>317.58272*E56*F56</f>
        <v>622.4621312</v>
      </c>
      <c r="I56" s="24">
        <f t="shared" si="11"/>
        <v>0</v>
      </c>
      <c r="J56" s="24">
        <f>10613.8980752*E56*F56</f>
        <v>20803.240227392</v>
      </c>
      <c r="K56" s="24">
        <f>2318.456006496*E56*F56</f>
        <v>4544.173772732161</v>
      </c>
      <c r="L56" s="24">
        <f>2229.81052*E56*F56</f>
        <v>4370.4286192</v>
      </c>
      <c r="M56" s="92">
        <f t="shared" si="8"/>
        <v>52192.44784652417</v>
      </c>
      <c r="N56" s="72">
        <f t="shared" si="9"/>
        <v>4349.370653877014</v>
      </c>
      <c r="O56" s="56">
        <f t="shared" si="10"/>
        <v>0.47805788677478717</v>
      </c>
      <c r="P56" s="122" t="s">
        <v>250</v>
      </c>
    </row>
    <row r="57" spans="2:16" ht="36.75" thickBot="1">
      <c r="B57" s="89">
        <v>49</v>
      </c>
      <c r="C57" s="59" t="s">
        <v>81</v>
      </c>
      <c r="D57" s="22" t="s">
        <v>82</v>
      </c>
      <c r="E57" s="23">
        <v>9.15</v>
      </c>
      <c r="F57" s="23">
        <v>10</v>
      </c>
      <c r="G57" s="24">
        <f>23.555*E57*F57</f>
        <v>2155.2825000000003</v>
      </c>
      <c r="H57" s="24">
        <f>559.498611*E57*F57</f>
        <v>51194.12290649999</v>
      </c>
      <c r="I57" s="24">
        <f t="shared" si="11"/>
        <v>0</v>
      </c>
      <c r="J57" s="24">
        <f>22.42436*E57*F57</f>
        <v>2051.82894</v>
      </c>
      <c r="K57" s="24">
        <f>63.575186955*E57*F57</f>
        <v>5817.1296063825</v>
      </c>
      <c r="L57" s="24">
        <f>4.711*E57*F57</f>
        <v>431.0565</v>
      </c>
      <c r="M57" s="92">
        <f t="shared" si="8"/>
        <v>61649.42045288249</v>
      </c>
      <c r="N57" s="72">
        <f t="shared" si="9"/>
        <v>5137.451704406874</v>
      </c>
      <c r="O57" s="56">
        <f t="shared" si="10"/>
        <v>0.5646792376793662</v>
      </c>
      <c r="P57" s="122" t="s">
        <v>236</v>
      </c>
    </row>
    <row r="58" spans="2:16" ht="23.25" customHeight="1">
      <c r="B58" s="83">
        <v>50</v>
      </c>
      <c r="C58" s="59" t="s">
        <v>83</v>
      </c>
      <c r="D58" s="22" t="s">
        <v>84</v>
      </c>
      <c r="E58" s="23">
        <v>8</v>
      </c>
      <c r="F58" s="23">
        <v>1</v>
      </c>
      <c r="G58" s="24">
        <f>99.8732*E58*F58</f>
        <v>798.9856</v>
      </c>
      <c r="H58" s="24">
        <f>152.2822*E58*F58</f>
        <v>1218.2576</v>
      </c>
      <c r="I58" s="24">
        <f t="shared" si="11"/>
        <v>0</v>
      </c>
      <c r="J58" s="24">
        <f>95.0792864*E58*F58</f>
        <v>760.6342912</v>
      </c>
      <c r="K58" s="24">
        <f>36.459642072*E58*F58</f>
        <v>291.677136576</v>
      </c>
      <c r="L58" s="24">
        <f>19.97464*E58*F58</f>
        <v>159.79712</v>
      </c>
      <c r="M58" s="92">
        <f t="shared" si="8"/>
        <v>3229.351747776</v>
      </c>
      <c r="N58" s="72">
        <f t="shared" si="9"/>
        <v>269.112645648</v>
      </c>
      <c r="O58" s="56">
        <f t="shared" si="10"/>
        <v>0.029579319152341174</v>
      </c>
      <c r="P58" s="122" t="s">
        <v>254</v>
      </c>
    </row>
    <row r="59" spans="2:16" ht="46.5" customHeight="1" thickBot="1">
      <c r="B59" s="89">
        <v>51</v>
      </c>
      <c r="C59" s="59" t="s">
        <v>85</v>
      </c>
      <c r="D59" s="22" t="s">
        <v>86</v>
      </c>
      <c r="E59" s="23">
        <v>1.26</v>
      </c>
      <c r="F59" s="23">
        <v>5</v>
      </c>
      <c r="G59" s="24">
        <f>0*E59*F59</f>
        <v>0</v>
      </c>
      <c r="H59" s="24">
        <f>0*E59*F59</f>
        <v>0</v>
      </c>
      <c r="I59" s="24">
        <f>47.0404*E59*F59</f>
        <v>296.35452</v>
      </c>
      <c r="J59" s="24">
        <f>15.918110208*E59*F59</f>
        <v>100.28409431040001</v>
      </c>
      <c r="K59" s="24">
        <f>6.61064357184*E59*F59</f>
        <v>41.647054502592</v>
      </c>
      <c r="L59" s="24">
        <f>3.3441408*E59*F59</f>
        <v>21.06808704</v>
      </c>
      <c r="M59" s="92">
        <f t="shared" si="8"/>
        <v>459.353755852992</v>
      </c>
      <c r="N59" s="72">
        <f t="shared" si="9"/>
        <v>38.279479654416</v>
      </c>
      <c r="O59" s="56">
        <f t="shared" si="10"/>
        <v>0.0042074609424506484</v>
      </c>
      <c r="P59" s="122" t="s">
        <v>218</v>
      </c>
    </row>
    <row r="60" spans="2:16" ht="24.75" customHeight="1">
      <c r="B60" s="83">
        <v>52</v>
      </c>
      <c r="C60" s="59" t="s">
        <v>87</v>
      </c>
      <c r="D60" s="22" t="s">
        <v>88</v>
      </c>
      <c r="E60" s="23">
        <v>0.6</v>
      </c>
      <c r="F60" s="23">
        <v>72</v>
      </c>
      <c r="G60" s="24">
        <f>130.0236*E60*F60</f>
        <v>5617.019519999999</v>
      </c>
      <c r="H60" s="24">
        <f>0.59482472*E60*F60</f>
        <v>25.696427904</v>
      </c>
      <c r="I60" s="24">
        <f>0*E60*F60</f>
        <v>0</v>
      </c>
      <c r="J60" s="24">
        <f>123.7824672*E60*F60</f>
        <v>5347.40258304</v>
      </c>
      <c r="K60" s="24">
        <f>26.7120936516*E60*F60</f>
        <v>1153.96244574912</v>
      </c>
      <c r="L60" s="24">
        <f>26.00472*E60*F60</f>
        <v>1123.403904</v>
      </c>
      <c r="M60" s="92">
        <f t="shared" si="8"/>
        <v>13267.48488069312</v>
      </c>
      <c r="N60" s="72">
        <f t="shared" si="9"/>
        <v>1105.62374005776</v>
      </c>
      <c r="O60" s="56">
        <f t="shared" si="10"/>
        <v>0.12152382282455045</v>
      </c>
      <c r="P60" s="73" t="s">
        <v>231</v>
      </c>
    </row>
    <row r="61" spans="2:16" ht="25.5" customHeight="1" thickBot="1">
      <c r="B61" s="89">
        <v>53</v>
      </c>
      <c r="C61" s="59" t="s">
        <v>89</v>
      </c>
      <c r="D61" s="22" t="s">
        <v>88</v>
      </c>
      <c r="E61" s="23">
        <v>0.6</v>
      </c>
      <c r="F61" s="23">
        <v>72</v>
      </c>
      <c r="G61" s="24">
        <f>24.0261*E61*F61</f>
        <v>1037.92752</v>
      </c>
      <c r="H61" s="24">
        <f>0.292287156*E61*F61</f>
        <v>12.626805139199998</v>
      </c>
      <c r="I61" s="24">
        <f>0*E61*F61</f>
        <v>0</v>
      </c>
      <c r="J61" s="24">
        <f>22.8728472*E61*F61</f>
        <v>988.1069990399999</v>
      </c>
      <c r="K61" s="24">
        <f>4.95507960738*E61*F61</f>
        <v>214.05943903881598</v>
      </c>
      <c r="L61" s="24">
        <f>4.80522*E61*F61</f>
        <v>207.58550400000001</v>
      </c>
      <c r="M61" s="92">
        <f t="shared" si="8"/>
        <v>2460.3062672180163</v>
      </c>
      <c r="N61" s="72">
        <f t="shared" si="9"/>
        <v>205.02552226816803</v>
      </c>
      <c r="O61" s="56">
        <f t="shared" si="10"/>
        <v>0.02253522997012179</v>
      </c>
      <c r="P61" s="73" t="s">
        <v>232</v>
      </c>
    </row>
    <row r="62" spans="2:16" ht="24">
      <c r="B62" s="83">
        <v>54</v>
      </c>
      <c r="C62" s="59" t="s">
        <v>90</v>
      </c>
      <c r="D62" s="22" t="s">
        <v>88</v>
      </c>
      <c r="E62" s="23">
        <v>0.08</v>
      </c>
      <c r="F62" s="23">
        <v>72</v>
      </c>
      <c r="G62" s="24">
        <f>565.32*E62*F62</f>
        <v>3256.2432000000003</v>
      </c>
      <c r="H62" s="24">
        <f>1.31878796*E62*F62</f>
        <v>7.596218649600001</v>
      </c>
      <c r="I62" s="24">
        <f>0*E62*F62</f>
        <v>0</v>
      </c>
      <c r="J62" s="24">
        <f>538.18464*E62*F62</f>
        <v>3099.9435264</v>
      </c>
      <c r="K62" s="24">
        <f>116.0064599358*E62*F62</f>
        <v>668.1972092302079</v>
      </c>
      <c r="L62" s="24">
        <f>113.064*E62*F62</f>
        <v>651.2486399999999</v>
      </c>
      <c r="M62" s="92">
        <f t="shared" si="8"/>
        <v>7683.2287942798075</v>
      </c>
      <c r="N62" s="72">
        <f t="shared" si="9"/>
        <v>640.269066189984</v>
      </c>
      <c r="O62" s="56">
        <f t="shared" si="10"/>
        <v>0.07037470501098966</v>
      </c>
      <c r="P62" s="73" t="s">
        <v>231</v>
      </c>
    </row>
    <row r="63" spans="2:16" ht="24.75" thickBot="1">
      <c r="B63" s="89">
        <v>55</v>
      </c>
      <c r="C63" s="59" t="s">
        <v>91</v>
      </c>
      <c r="D63" s="22" t="s">
        <v>73</v>
      </c>
      <c r="E63" s="23">
        <v>0.08</v>
      </c>
      <c r="F63" s="23">
        <v>72</v>
      </c>
      <c r="G63" s="24">
        <f>228.9546*E63*F63</f>
        <v>1318.7784960000001</v>
      </c>
      <c r="H63" s="24">
        <f>1.28129512*E63*F63</f>
        <v>7.380259891200001</v>
      </c>
      <c r="I63" s="24">
        <f>0*E63*F63</f>
        <v>0</v>
      </c>
      <c r="J63" s="24">
        <f>217.9647792*E63*F63</f>
        <v>1255.4771281920002</v>
      </c>
      <c r="K63" s="24">
        <f>47.0610708036*E63*F63</f>
        <v>271.07176782873603</v>
      </c>
      <c r="L63" s="24">
        <f>45.79092*E63*F63</f>
        <v>263.7556992</v>
      </c>
      <c r="M63" s="92">
        <f t="shared" si="8"/>
        <v>3116.4633511119364</v>
      </c>
      <c r="N63" s="72">
        <f t="shared" si="9"/>
        <v>259.70527925932805</v>
      </c>
      <c r="O63" s="56">
        <f t="shared" si="10"/>
        <v>0.028545315372535508</v>
      </c>
      <c r="P63" s="73" t="s">
        <v>232</v>
      </c>
    </row>
    <row r="64" spans="2:16" ht="13.5" thickBot="1">
      <c r="B64" s="83">
        <v>56</v>
      </c>
      <c r="C64" s="94" t="s">
        <v>92</v>
      </c>
      <c r="D64" s="95" t="s">
        <v>93</v>
      </c>
      <c r="E64" s="96">
        <v>0.08</v>
      </c>
      <c r="F64" s="96">
        <v>12</v>
      </c>
      <c r="G64" s="97">
        <f>7349.16*E64*F64</f>
        <v>7055.1936000000005</v>
      </c>
      <c r="H64" s="97">
        <f>5458.026839748*E64*F64</f>
        <v>5239.70576615808</v>
      </c>
      <c r="I64" s="97">
        <f>0*E64*F64</f>
        <v>0</v>
      </c>
      <c r="J64" s="97">
        <f>6996.40032*E64*F64</f>
        <v>6716.5443072</v>
      </c>
      <c r="K64" s="97">
        <f>2079.3766517735*E64*F64</f>
        <v>1996.20158570256</v>
      </c>
      <c r="L64" s="97">
        <f>1469.832*E64*F64</f>
        <v>1411.03872</v>
      </c>
      <c r="M64" s="98">
        <f t="shared" si="8"/>
        <v>22418.683979060643</v>
      </c>
      <c r="N64" s="74">
        <f t="shared" si="9"/>
        <v>1868.2236649217202</v>
      </c>
      <c r="O64" s="75">
        <f t="shared" si="10"/>
        <v>0.20534443448249287</v>
      </c>
      <c r="P64" s="76" t="s">
        <v>208</v>
      </c>
    </row>
    <row r="65" spans="2:16" ht="13.5" thickBot="1">
      <c r="B65" s="168" t="s">
        <v>48</v>
      </c>
      <c r="C65" s="169"/>
      <c r="D65" s="169"/>
      <c r="E65" s="169"/>
      <c r="F65" s="170"/>
      <c r="G65" s="79">
        <f aca="true" t="shared" si="12" ref="G65:M65">SUM(G36:G64)</f>
        <v>348187.5705768376</v>
      </c>
      <c r="H65" s="80">
        <f t="shared" si="12"/>
        <v>68230.12500058698</v>
      </c>
      <c r="I65" s="80">
        <f t="shared" si="12"/>
        <v>2044.0759200000002</v>
      </c>
      <c r="J65" s="80">
        <f t="shared" si="12"/>
        <v>331574.85128345975</v>
      </c>
      <c r="K65" s="80">
        <f t="shared" si="12"/>
        <v>78753.84539199305</v>
      </c>
      <c r="L65" s="81">
        <f t="shared" si="12"/>
        <v>69658.58220240752</v>
      </c>
      <c r="M65" s="82">
        <f t="shared" si="12"/>
        <v>898449.050375285</v>
      </c>
      <c r="N65" s="67">
        <f>SUM(N36:N64)</f>
        <v>74870.75419794042</v>
      </c>
      <c r="O65" s="67">
        <f>SUM(O36:O64)</f>
        <v>8.229364057808354</v>
      </c>
      <c r="P65" s="68"/>
    </row>
    <row r="66" spans="2:16" ht="15.75" customHeight="1" thickBot="1">
      <c r="B66" s="165" t="s">
        <v>175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7"/>
    </row>
    <row r="67" spans="2:16" ht="29.25" customHeight="1">
      <c r="B67" s="115">
        <v>57</v>
      </c>
      <c r="C67" s="85" t="s">
        <v>189</v>
      </c>
      <c r="D67" s="85"/>
      <c r="E67" s="85"/>
      <c r="F67" s="86">
        <v>365</v>
      </c>
      <c r="G67" s="116"/>
      <c r="H67" s="116"/>
      <c r="I67" s="116"/>
      <c r="J67" s="116"/>
      <c r="K67" s="116"/>
      <c r="L67" s="116"/>
      <c r="M67" s="88">
        <f aca="true" t="shared" si="13" ref="M67:M75">N67*12</f>
        <v>251213.97600000002</v>
      </c>
      <c r="N67" s="99">
        <f>O67*9098</f>
        <v>20934.498000000003</v>
      </c>
      <c r="O67" s="100">
        <v>2.301</v>
      </c>
      <c r="P67" s="71" t="s">
        <v>215</v>
      </c>
    </row>
    <row r="68" spans="2:16" ht="12" customHeight="1" thickBot="1">
      <c r="B68" s="117">
        <v>58</v>
      </c>
      <c r="C68" s="22" t="s">
        <v>190</v>
      </c>
      <c r="D68" s="22"/>
      <c r="E68" s="22"/>
      <c r="F68" s="23">
        <v>1</v>
      </c>
      <c r="G68" s="25"/>
      <c r="H68" s="25"/>
      <c r="I68" s="25"/>
      <c r="J68" s="25"/>
      <c r="K68" s="25"/>
      <c r="L68" s="25"/>
      <c r="M68" s="92">
        <f>N68*12</f>
        <v>144112.32</v>
      </c>
      <c r="N68" s="101">
        <f>O68*9098</f>
        <v>12009.36</v>
      </c>
      <c r="O68" s="57">
        <v>1.32</v>
      </c>
      <c r="P68" s="73" t="s">
        <v>216</v>
      </c>
    </row>
    <row r="69" spans="2:16" ht="24">
      <c r="B69" s="115">
        <v>59</v>
      </c>
      <c r="C69" s="22" t="s">
        <v>176</v>
      </c>
      <c r="D69" s="22"/>
      <c r="E69" s="22"/>
      <c r="F69" s="23">
        <v>365</v>
      </c>
      <c r="G69" s="25"/>
      <c r="H69" s="25"/>
      <c r="I69" s="25"/>
      <c r="J69" s="25"/>
      <c r="K69" s="25"/>
      <c r="L69" s="25"/>
      <c r="M69" s="92">
        <f t="shared" si="13"/>
        <v>270756.48</v>
      </c>
      <c r="N69" s="101">
        <f aca="true" t="shared" si="14" ref="N69:N75">O69*9098</f>
        <v>22563.04</v>
      </c>
      <c r="O69" s="57">
        <v>2.48</v>
      </c>
      <c r="P69" s="73" t="s">
        <v>217</v>
      </c>
    </row>
    <row r="70" spans="2:16" ht="13.5" thickBot="1">
      <c r="B70" s="117">
        <v>60</v>
      </c>
      <c r="C70" s="22" t="s">
        <v>177</v>
      </c>
      <c r="D70" s="22"/>
      <c r="E70" s="22"/>
      <c r="F70" s="23">
        <v>12</v>
      </c>
      <c r="G70" s="25"/>
      <c r="H70" s="25"/>
      <c r="I70" s="25"/>
      <c r="J70" s="25"/>
      <c r="K70" s="25"/>
      <c r="L70" s="25"/>
      <c r="M70" s="92">
        <f t="shared" si="13"/>
        <v>43670.4</v>
      </c>
      <c r="N70" s="101">
        <f>O70*9098</f>
        <v>3639.2000000000003</v>
      </c>
      <c r="O70" s="57">
        <v>0.4</v>
      </c>
      <c r="P70" s="73" t="s">
        <v>208</v>
      </c>
    </row>
    <row r="71" spans="2:16" s="45" customFormat="1" ht="12.75">
      <c r="B71" s="115">
        <v>61</v>
      </c>
      <c r="C71" s="41" t="s">
        <v>178</v>
      </c>
      <c r="D71" s="41"/>
      <c r="E71" s="41"/>
      <c r="F71" s="42">
        <v>12</v>
      </c>
      <c r="G71" s="44"/>
      <c r="H71" s="44"/>
      <c r="I71" s="44"/>
      <c r="J71" s="44"/>
      <c r="K71" s="44"/>
      <c r="L71" s="44"/>
      <c r="M71" s="90">
        <f>4000*12</f>
        <v>48000</v>
      </c>
      <c r="N71" s="101">
        <f>M71/12</f>
        <v>4000</v>
      </c>
      <c r="O71" s="57">
        <f>N71/9098</f>
        <v>0.43965706748735983</v>
      </c>
      <c r="P71" s="73" t="s">
        <v>226</v>
      </c>
    </row>
    <row r="72" spans="2:16" s="45" customFormat="1" ht="13.5" thickBot="1">
      <c r="B72" s="117">
        <v>62</v>
      </c>
      <c r="C72" s="41" t="s">
        <v>248</v>
      </c>
      <c r="D72" s="46"/>
      <c r="E72" s="46"/>
      <c r="F72" s="55">
        <v>12</v>
      </c>
      <c r="G72" s="47"/>
      <c r="H72" s="47"/>
      <c r="I72" s="47"/>
      <c r="J72" s="47"/>
      <c r="K72" s="47"/>
      <c r="L72" s="47"/>
      <c r="M72" s="118">
        <f t="shared" si="13"/>
        <v>38211.6</v>
      </c>
      <c r="N72" s="101">
        <f t="shared" si="14"/>
        <v>3184.2999999999997</v>
      </c>
      <c r="O72" s="58">
        <v>0.35</v>
      </c>
      <c r="P72" s="73" t="s">
        <v>226</v>
      </c>
    </row>
    <row r="73" spans="2:16" s="45" customFormat="1" ht="12.75">
      <c r="B73" s="115">
        <v>63</v>
      </c>
      <c r="C73" s="41" t="s">
        <v>191</v>
      </c>
      <c r="D73" s="46"/>
      <c r="E73" s="46"/>
      <c r="F73" s="46"/>
      <c r="G73" s="47"/>
      <c r="H73" s="47"/>
      <c r="I73" s="47"/>
      <c r="J73" s="47"/>
      <c r="K73" s="47"/>
      <c r="L73" s="47"/>
      <c r="M73" s="118">
        <f t="shared" si="13"/>
        <v>70964.4</v>
      </c>
      <c r="N73" s="101">
        <f t="shared" si="14"/>
        <v>5913.7</v>
      </c>
      <c r="O73" s="58">
        <v>0.65</v>
      </c>
      <c r="P73" s="73" t="s">
        <v>226</v>
      </c>
    </row>
    <row r="74" spans="2:16" s="45" customFormat="1" ht="36.75" thickBot="1">
      <c r="B74" s="117">
        <v>64</v>
      </c>
      <c r="C74" s="41" t="s">
        <v>227</v>
      </c>
      <c r="D74" s="46"/>
      <c r="E74" s="46"/>
      <c r="F74" s="55"/>
      <c r="G74" s="47"/>
      <c r="H74" s="47"/>
      <c r="I74" s="47"/>
      <c r="J74" s="47"/>
      <c r="K74" s="47"/>
      <c r="L74" s="47"/>
      <c r="M74" s="118">
        <f>N74*12</f>
        <v>6550.5599999999995</v>
      </c>
      <c r="N74" s="101">
        <f>O74*9098</f>
        <v>545.88</v>
      </c>
      <c r="O74" s="58">
        <v>0.06</v>
      </c>
      <c r="P74" s="102" t="s">
        <v>228</v>
      </c>
    </row>
    <row r="75" spans="2:16" s="45" customFormat="1" ht="30.75" customHeight="1" thickBot="1">
      <c r="B75" s="115">
        <v>65</v>
      </c>
      <c r="C75" s="119" t="s">
        <v>179</v>
      </c>
      <c r="D75" s="119"/>
      <c r="E75" s="119"/>
      <c r="F75" s="119"/>
      <c r="G75" s="120"/>
      <c r="H75" s="120"/>
      <c r="I75" s="120"/>
      <c r="J75" s="120"/>
      <c r="K75" s="120"/>
      <c r="L75" s="120"/>
      <c r="M75" s="121">
        <f t="shared" si="13"/>
        <v>6550.5599999999995</v>
      </c>
      <c r="N75" s="103">
        <f t="shared" si="14"/>
        <v>545.88</v>
      </c>
      <c r="O75" s="104">
        <v>0.06</v>
      </c>
      <c r="P75" s="76" t="s">
        <v>207</v>
      </c>
    </row>
    <row r="76" spans="2:16" s="45" customFormat="1" ht="13.5" customHeight="1" thickBot="1">
      <c r="B76" s="173" t="s">
        <v>48</v>
      </c>
      <c r="C76" s="174"/>
      <c r="D76" s="110"/>
      <c r="E76" s="110"/>
      <c r="F76" s="110"/>
      <c r="G76" s="111">
        <f aca="true" t="shared" si="15" ref="G76:L76">SUM(G67:G71)</f>
        <v>0</v>
      </c>
      <c r="H76" s="112">
        <f t="shared" si="15"/>
        <v>0</v>
      </c>
      <c r="I76" s="112">
        <f t="shared" si="15"/>
        <v>0</v>
      </c>
      <c r="J76" s="112">
        <f t="shared" si="15"/>
        <v>0</v>
      </c>
      <c r="K76" s="112">
        <f t="shared" si="15"/>
        <v>0</v>
      </c>
      <c r="L76" s="113">
        <f t="shared" si="15"/>
        <v>0</v>
      </c>
      <c r="M76" s="114">
        <f>SUM(M67:M75)</f>
        <v>880030.2960000002</v>
      </c>
      <c r="N76" s="67">
        <f>SUM(N67:N75)</f>
        <v>73335.85800000001</v>
      </c>
      <c r="O76" s="67">
        <f>SUM(O67:O75)</f>
        <v>8.060657067487362</v>
      </c>
      <c r="P76" s="68"/>
    </row>
    <row r="77" spans="2:16" ht="16.5" customHeight="1" thickBot="1" thickTop="1">
      <c r="B77" s="175" t="s">
        <v>94</v>
      </c>
      <c r="C77" s="176"/>
      <c r="D77" s="108"/>
      <c r="E77" s="108"/>
      <c r="F77" s="109"/>
      <c r="G77" s="26">
        <f aca="true" t="shared" si="16" ref="G77:O77">G34+G65+G76</f>
        <v>498513.11260325473</v>
      </c>
      <c r="H77" s="26">
        <f t="shared" si="16"/>
        <v>96714.01546103897</v>
      </c>
      <c r="I77" s="26">
        <f t="shared" si="16"/>
        <v>2044.0759200000002</v>
      </c>
      <c r="J77" s="26">
        <f t="shared" si="16"/>
        <v>474684.76729260886</v>
      </c>
      <c r="K77" s="26">
        <f t="shared" si="16"/>
        <v>112555.37698407496</v>
      </c>
      <c r="L77" s="26">
        <f t="shared" si="16"/>
        <v>99723.69060769095</v>
      </c>
      <c r="M77" s="107">
        <f t="shared" si="16"/>
        <v>2164265.3348686686</v>
      </c>
      <c r="N77" s="106">
        <f t="shared" si="16"/>
        <v>180355.44457238907</v>
      </c>
      <c r="O77" s="105">
        <f t="shared" si="16"/>
        <v>19.823636466518913</v>
      </c>
      <c r="P77" s="68"/>
    </row>
    <row r="78" spans="2:16" ht="18.75" customHeight="1" thickTop="1">
      <c r="B78" s="27"/>
      <c r="C78" s="177" t="s">
        <v>233</v>
      </c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8"/>
    </row>
    <row r="79" spans="2:16" ht="18" customHeight="1">
      <c r="B79" s="179" t="s">
        <v>202</v>
      </c>
      <c r="C79" s="180"/>
      <c r="D79" s="22"/>
      <c r="E79" s="22"/>
      <c r="F79" s="22"/>
      <c r="G79" s="25"/>
      <c r="H79" s="25"/>
      <c r="I79" s="25"/>
      <c r="J79" s="25"/>
      <c r="K79" s="25"/>
      <c r="L79" s="25"/>
      <c r="M79" s="24"/>
      <c r="N79" s="48">
        <v>30</v>
      </c>
      <c r="O79" s="57"/>
      <c r="P79" s="181" t="s">
        <v>235</v>
      </c>
    </row>
    <row r="80" spans="2:16" ht="15.75" customHeight="1">
      <c r="B80" s="179" t="s">
        <v>201</v>
      </c>
      <c r="C80" s="180"/>
      <c r="D80" s="22"/>
      <c r="E80" s="22"/>
      <c r="F80" s="22"/>
      <c r="G80" s="25"/>
      <c r="H80" s="25"/>
      <c r="I80" s="25"/>
      <c r="J80" s="25"/>
      <c r="K80" s="25"/>
      <c r="L80" s="25"/>
      <c r="M80" s="24"/>
      <c r="N80" s="48">
        <v>30</v>
      </c>
      <c r="O80" s="57"/>
      <c r="P80" s="182"/>
    </row>
    <row r="81" spans="2:16" ht="12.75" customHeight="1">
      <c r="B81" s="179" t="s">
        <v>234</v>
      </c>
      <c r="C81" s="184"/>
      <c r="D81" s="180"/>
      <c r="E81" s="22"/>
      <c r="F81" s="22"/>
      <c r="G81" s="25"/>
      <c r="H81" s="25"/>
      <c r="I81" s="25"/>
      <c r="J81" s="25"/>
      <c r="K81" s="25"/>
      <c r="L81" s="25"/>
      <c r="M81" s="24"/>
      <c r="N81" s="48">
        <v>15</v>
      </c>
      <c r="O81" s="57"/>
      <c r="P81" s="183"/>
    </row>
    <row r="82" spans="2:15" ht="12.75">
      <c r="B82" s="49"/>
      <c r="C82" s="50"/>
      <c r="D82" s="50"/>
      <c r="E82" s="50"/>
      <c r="F82" s="50"/>
      <c r="G82" s="51"/>
      <c r="H82" s="51"/>
      <c r="I82" s="51"/>
      <c r="J82" s="51"/>
      <c r="K82" s="51"/>
      <c r="L82" s="51"/>
      <c r="M82" s="52"/>
      <c r="N82" s="54"/>
      <c r="O82" s="53"/>
    </row>
    <row r="83" spans="2:15" ht="12.75">
      <c r="B83" s="49"/>
      <c r="C83" s="50"/>
      <c r="D83" s="50"/>
      <c r="E83" s="50"/>
      <c r="F83" s="50"/>
      <c r="G83" s="51"/>
      <c r="H83" s="51"/>
      <c r="I83" s="51"/>
      <c r="J83" s="51"/>
      <c r="K83" s="51"/>
      <c r="L83" s="51"/>
      <c r="M83" s="52"/>
      <c r="N83" s="54"/>
      <c r="O83" s="53"/>
    </row>
    <row r="84" spans="3:13" ht="23.25" customHeight="1">
      <c r="C84" s="185" t="s">
        <v>95</v>
      </c>
      <c r="D84" s="185"/>
      <c r="E84" s="185"/>
      <c r="F84" s="185"/>
      <c r="G84" s="185"/>
      <c r="H84" s="185"/>
      <c r="I84" s="185"/>
      <c r="J84" s="185"/>
      <c r="K84" s="185"/>
      <c r="L84" s="185"/>
      <c r="M84" s="185"/>
    </row>
    <row r="85" spans="3:13" ht="24" customHeight="1">
      <c r="C85" s="186" t="s">
        <v>96</v>
      </c>
      <c r="D85" s="186"/>
      <c r="E85" s="187">
        <f>G77</f>
        <v>498513.11260325473</v>
      </c>
      <c r="F85" s="187"/>
      <c r="G85" s="186" t="s">
        <v>97</v>
      </c>
      <c r="H85" s="186"/>
      <c r="I85" s="186"/>
      <c r="J85" s="187">
        <f>J77</f>
        <v>474684.76729260886</v>
      </c>
      <c r="K85" s="187"/>
      <c r="M85" s="37"/>
    </row>
    <row r="86" spans="3:15" ht="24.75" customHeight="1">
      <c r="C86" s="186" t="s">
        <v>98</v>
      </c>
      <c r="D86" s="186"/>
      <c r="E86" s="187">
        <f>H77</f>
        <v>96714.01546103897</v>
      </c>
      <c r="F86" s="187"/>
      <c r="G86" s="186" t="s">
        <v>99</v>
      </c>
      <c r="H86" s="186"/>
      <c r="I86" s="186"/>
      <c r="J86" s="187">
        <f>K77</f>
        <v>112555.37698407496</v>
      </c>
      <c r="K86" s="187"/>
      <c r="M86" s="37"/>
      <c r="O86" s="37"/>
    </row>
    <row r="87" spans="3:11" ht="25.5" customHeight="1">
      <c r="C87" s="186" t="s">
        <v>100</v>
      </c>
      <c r="D87" s="186"/>
      <c r="E87" s="187">
        <f>I77</f>
        <v>2044.0759200000002</v>
      </c>
      <c r="F87" s="187"/>
      <c r="G87" s="186" t="s">
        <v>101</v>
      </c>
      <c r="H87" s="186"/>
      <c r="I87" s="186"/>
      <c r="J87" s="187">
        <f>L77</f>
        <v>99723.69060769095</v>
      </c>
      <c r="K87" s="187"/>
    </row>
    <row r="88" spans="3:13" ht="19.5" customHeight="1">
      <c r="C88" s="4"/>
      <c r="E88" s="5"/>
      <c r="G88" s="186" t="s">
        <v>102</v>
      </c>
      <c r="H88" s="186"/>
      <c r="I88" s="186"/>
      <c r="J88" s="187">
        <f>M77</f>
        <v>2164265.3348686686</v>
      </c>
      <c r="K88" s="187"/>
      <c r="M88" s="37">
        <f>N77-N76</f>
        <v>107019.58657238906</v>
      </c>
    </row>
    <row r="89" ht="15" customHeight="1"/>
    <row r="90" ht="12" hidden="1">
      <c r="N90">
        <f>12000/9098</f>
        <v>1.3189712024620797</v>
      </c>
    </row>
    <row r="91" ht="12" hidden="1"/>
    <row r="92" spans="4:6" ht="12" hidden="1">
      <c r="D92">
        <f>1.1*30*2</f>
        <v>66</v>
      </c>
      <c r="E92">
        <f>8*3500</f>
        <v>28000</v>
      </c>
      <c r="F92">
        <f>N69+N70</f>
        <v>26202.24</v>
      </c>
    </row>
    <row r="93" spans="4:6" ht="12" hidden="1">
      <c r="D93">
        <f>D92*288.99</f>
        <v>19073.34</v>
      </c>
      <c r="F93">
        <f>F92+N64</f>
        <v>28070.46366492172</v>
      </c>
    </row>
    <row r="94" spans="4:5" ht="12" hidden="1">
      <c r="D94">
        <f>D93*0.18</f>
        <v>3433.2012</v>
      </c>
      <c r="E94">
        <f>3500/9098</f>
        <v>0.3846999340514399</v>
      </c>
    </row>
    <row r="95" ht="12" hidden="1">
      <c r="D95">
        <f>D93+D94</f>
        <v>22506.5412</v>
      </c>
    </row>
    <row r="96" spans="4:6" ht="12" hidden="1">
      <c r="D96">
        <f>D95/9098</f>
        <v>2.4737899758188613</v>
      </c>
      <c r="F96">
        <f>60*198</f>
        <v>11880</v>
      </c>
    </row>
    <row r="97" ht="12" hidden="1">
      <c r="F97">
        <f>F96/9098</f>
        <v>1.3057814904374587</v>
      </c>
    </row>
    <row r="98" ht="12" hidden="1">
      <c r="F98">
        <f>1.3*9098</f>
        <v>11827.4</v>
      </c>
    </row>
    <row r="99" ht="12" hidden="1"/>
    <row r="100" ht="12" hidden="1"/>
    <row r="101" spans="5:6" ht="12" hidden="1">
      <c r="E101">
        <f>1*9098</f>
        <v>9098</v>
      </c>
      <c r="F101">
        <v>0.65</v>
      </c>
    </row>
    <row r="102" spans="3:10" ht="12">
      <c r="C102" s="189" t="s">
        <v>192</v>
      </c>
      <c r="D102" s="189"/>
      <c r="E102" s="189"/>
      <c r="F102" s="189"/>
      <c r="G102" s="189"/>
      <c r="H102" s="189"/>
      <c r="I102" s="189"/>
      <c r="J102" s="189"/>
    </row>
    <row r="103" spans="3:10" ht="15" customHeight="1">
      <c r="C103" s="188" t="s">
        <v>96</v>
      </c>
      <c r="D103" s="188"/>
      <c r="E103" s="36">
        <f>E85/12</f>
        <v>41542.75938360456</v>
      </c>
      <c r="F103" s="36"/>
      <c r="G103" s="188" t="s">
        <v>97</v>
      </c>
      <c r="H103" s="188"/>
      <c r="I103" s="188"/>
      <c r="J103" s="36">
        <f>J85/12</f>
        <v>39557.063941050736</v>
      </c>
    </row>
    <row r="104" spans="3:10" ht="15" customHeight="1">
      <c r="C104" s="188" t="s">
        <v>98</v>
      </c>
      <c r="D104" s="188"/>
      <c r="E104" s="36">
        <f>E86/12</f>
        <v>8059.501288419914</v>
      </c>
      <c r="F104" s="36"/>
      <c r="G104" s="188" t="s">
        <v>99</v>
      </c>
      <c r="H104" s="188"/>
      <c r="I104" s="188"/>
      <c r="J104" s="36">
        <f>J86/12</f>
        <v>9379.614748672913</v>
      </c>
    </row>
    <row r="105" spans="3:10" ht="15" customHeight="1">
      <c r="C105" s="188" t="s">
        <v>100</v>
      </c>
      <c r="D105" s="188"/>
      <c r="E105" s="36">
        <f>E87/12</f>
        <v>170.33966</v>
      </c>
      <c r="F105" s="36"/>
      <c r="G105" s="188" t="s">
        <v>101</v>
      </c>
      <c r="H105" s="188"/>
      <c r="I105" s="188"/>
      <c r="J105" s="36">
        <f>J87/12</f>
        <v>8310.307550640913</v>
      </c>
    </row>
    <row r="106" spans="3:11" ht="15">
      <c r="C106" s="36"/>
      <c r="D106" s="36"/>
      <c r="E106" s="36"/>
      <c r="F106" s="36"/>
      <c r="G106" s="188" t="s">
        <v>102</v>
      </c>
      <c r="H106" s="188"/>
      <c r="I106" s="188"/>
      <c r="J106" s="36">
        <f>J88/12</f>
        <v>180355.44457238904</v>
      </c>
      <c r="K106" s="40"/>
    </row>
    <row r="109" ht="12">
      <c r="H109">
        <f>15000+45000+20000+18000+40000</f>
        <v>138000</v>
      </c>
    </row>
    <row r="110" ht="12">
      <c r="H110">
        <f>H109*30.2%</f>
        <v>41676</v>
      </c>
    </row>
    <row r="111" spans="8:9" ht="12">
      <c r="H111">
        <f>H109+H110</f>
        <v>179676</v>
      </c>
      <c r="I111" s="37"/>
    </row>
  </sheetData>
  <sheetProtection formatCells="0" formatColumns="0" formatRows="0" insertColumns="0" insertRows="0" insertHyperlinks="0" deleteColumns="0" deleteRows="0" sort="0" autoFilter="0" pivotTables="0"/>
  <mergeCells count="37">
    <mergeCell ref="G106:I106"/>
    <mergeCell ref="C102:J102"/>
    <mergeCell ref="C103:D103"/>
    <mergeCell ref="G103:I103"/>
    <mergeCell ref="C104:D104"/>
    <mergeCell ref="G104:I104"/>
    <mergeCell ref="C105:D105"/>
    <mergeCell ref="G105:I105"/>
    <mergeCell ref="C87:D87"/>
    <mergeCell ref="E87:F87"/>
    <mergeCell ref="G87:I87"/>
    <mergeCell ref="J87:K87"/>
    <mergeCell ref="G88:I88"/>
    <mergeCell ref="J88:K88"/>
    <mergeCell ref="C84:M84"/>
    <mergeCell ref="C85:D85"/>
    <mergeCell ref="E85:F85"/>
    <mergeCell ref="G85:I85"/>
    <mergeCell ref="J85:K85"/>
    <mergeCell ref="C86:D86"/>
    <mergeCell ref="E86:F86"/>
    <mergeCell ref="G86:I86"/>
    <mergeCell ref="J86:K86"/>
    <mergeCell ref="B66:P66"/>
    <mergeCell ref="B76:C76"/>
    <mergeCell ref="B77:C77"/>
    <mergeCell ref="C78:P78"/>
    <mergeCell ref="B79:C79"/>
    <mergeCell ref="P79:P81"/>
    <mergeCell ref="B80:C80"/>
    <mergeCell ref="B81:D81"/>
    <mergeCell ref="B1:P1"/>
    <mergeCell ref="B2:O2"/>
    <mergeCell ref="B4:P4"/>
    <mergeCell ref="B34:F34"/>
    <mergeCell ref="B35:P35"/>
    <mergeCell ref="B65:F65"/>
  </mergeCells>
  <printOptions/>
  <pageMargins left="0.35" right="0.35" top="0.35" bottom="0.161875" header="0.3" footer="0.3"/>
  <pageSetup fitToHeight="0" fitToWidth="1" horizontalDpi="600" verticalDpi="600" orientation="landscape" paperSize="9" scale="73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1"/>
  <sheetViews>
    <sheetView view="pageLayout" zoomScaleNormal="75" workbookViewId="0" topLeftCell="C70">
      <selection activeCell="E82" sqref="E82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78.57421875" style="0" customWidth="1"/>
    <col min="4" max="4" width="27.140625" style="0" customWidth="1"/>
    <col min="5" max="5" width="11.140625" style="0" customWidth="1"/>
    <col min="6" max="6" width="13.7109375" style="0" customWidth="1"/>
    <col min="7" max="7" width="14.140625" style="0" hidden="1" customWidth="1"/>
    <col min="8" max="8" width="14.28125" style="0" hidden="1" customWidth="1"/>
    <col min="9" max="9" width="14.140625" style="0" hidden="1" customWidth="1"/>
    <col min="10" max="10" width="14.00390625" style="0" hidden="1" customWidth="1"/>
    <col min="11" max="11" width="14.28125" style="0" hidden="1" customWidth="1"/>
    <col min="12" max="12" width="15.140625" style="0" hidden="1" customWidth="1"/>
    <col min="13" max="13" width="13.57421875" style="0" customWidth="1"/>
    <col min="14" max="14" width="12.421875" style="0" customWidth="1"/>
    <col min="15" max="15" width="11.00390625" style="0" customWidth="1"/>
    <col min="16" max="16" width="21.28125" style="0" customWidth="1"/>
  </cols>
  <sheetData>
    <row r="1" spans="2:16" ht="26.25" customHeight="1">
      <c r="B1" s="163" t="s">
        <v>237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2:18" ht="18" customHeight="1" thickBot="1">
      <c r="B2" s="164" t="s">
        <v>188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R2" s="21"/>
    </row>
    <row r="3" spans="2:16" ht="45.75" customHeight="1" thickBot="1" thickTop="1">
      <c r="B3" s="61" t="s">
        <v>0</v>
      </c>
      <c r="C3" s="62" t="s">
        <v>1</v>
      </c>
      <c r="D3" s="62" t="s">
        <v>2</v>
      </c>
      <c r="E3" s="62" t="s">
        <v>3</v>
      </c>
      <c r="F3" s="62" t="s">
        <v>4</v>
      </c>
      <c r="G3" s="62" t="s">
        <v>5</v>
      </c>
      <c r="H3" s="62" t="s">
        <v>6</v>
      </c>
      <c r="I3" s="62" t="s">
        <v>7</v>
      </c>
      <c r="J3" s="62" t="s">
        <v>8</v>
      </c>
      <c r="K3" s="62" t="s">
        <v>9</v>
      </c>
      <c r="L3" s="62" t="s">
        <v>10</v>
      </c>
      <c r="M3" s="63" t="s">
        <v>225</v>
      </c>
      <c r="N3" s="64" t="s">
        <v>173</v>
      </c>
      <c r="O3" s="65" t="s">
        <v>174</v>
      </c>
      <c r="P3" s="66" t="s">
        <v>204</v>
      </c>
    </row>
    <row r="4" spans="2:16" ht="24.75" customHeight="1" thickBot="1">
      <c r="B4" s="165" t="s">
        <v>12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2:16" ht="16.5" customHeight="1">
      <c r="B5" s="83">
        <v>1</v>
      </c>
      <c r="C5" s="84" t="s">
        <v>13</v>
      </c>
      <c r="D5" s="85" t="s">
        <v>14</v>
      </c>
      <c r="E5" s="86">
        <v>1</v>
      </c>
      <c r="F5" s="86">
        <v>2</v>
      </c>
      <c r="G5" s="87">
        <f>1128.9376*E5*F5</f>
        <v>2257.8752</v>
      </c>
      <c r="H5" s="87">
        <f>422.262792*E5*F5</f>
        <v>844.525584</v>
      </c>
      <c r="I5" s="87">
        <f aca="true" t="shared" si="0" ref="I5:I33">0*E5*F5</f>
        <v>0</v>
      </c>
      <c r="J5" s="87">
        <f>1074.7485952*E5*F5</f>
        <v>2149.4971904</v>
      </c>
      <c r="K5" s="87">
        <f>275.724643656*E5*F5</f>
        <v>551.449287312</v>
      </c>
      <c r="L5" s="87">
        <f>225.78752*E5*F5</f>
        <v>451.57504</v>
      </c>
      <c r="M5" s="88">
        <f aca="true" t="shared" si="1" ref="M5:M33">SUM(G5:L5)</f>
        <v>6254.922301711999</v>
      </c>
      <c r="N5" s="134">
        <f aca="true" t="shared" si="2" ref="N5:N33">M5/12</f>
        <v>521.2435251426666</v>
      </c>
      <c r="O5" s="70">
        <f>N5/9098</f>
        <v>0.05729209992774968</v>
      </c>
      <c r="P5" s="71" t="s">
        <v>205</v>
      </c>
    </row>
    <row r="6" spans="2:16" s="45" customFormat="1" ht="12.75">
      <c r="B6" s="89">
        <v>2</v>
      </c>
      <c r="C6" s="77" t="s">
        <v>15</v>
      </c>
      <c r="D6" s="41" t="s">
        <v>16</v>
      </c>
      <c r="E6" s="42">
        <v>14.961</v>
      </c>
      <c r="F6" s="42">
        <v>2</v>
      </c>
      <c r="G6" s="43">
        <f>43.59264*E6*F6</f>
        <v>1304.37897408</v>
      </c>
      <c r="H6" s="43">
        <f aca="true" t="shared" si="3" ref="H6:H12">0*E6*F6</f>
        <v>0</v>
      </c>
      <c r="I6" s="43">
        <f t="shared" si="0"/>
        <v>0</v>
      </c>
      <c r="J6" s="43">
        <f>41.50019328*E6*F6</f>
        <v>1241.76878332416</v>
      </c>
      <c r="K6" s="43">
        <f>8.9347474944*E6*F6</f>
        <v>267.3455145274368</v>
      </c>
      <c r="L6" s="43">
        <f>8.718528*E6*F6</f>
        <v>260.875794816</v>
      </c>
      <c r="M6" s="90">
        <f t="shared" si="1"/>
        <v>3074.369066747597</v>
      </c>
      <c r="N6" s="123">
        <f t="shared" si="2"/>
        <v>256.19742222896645</v>
      </c>
      <c r="O6" s="56">
        <f aca="true" t="shared" si="4" ref="O6:O33">N6/9098</f>
        <v>0.028159751838752082</v>
      </c>
      <c r="P6" s="73" t="s">
        <v>205</v>
      </c>
    </row>
    <row r="7" spans="2:16" s="45" customFormat="1" ht="12.75">
      <c r="B7" s="91">
        <v>3</v>
      </c>
      <c r="C7" s="77" t="s">
        <v>17</v>
      </c>
      <c r="D7" s="41" t="s">
        <v>16</v>
      </c>
      <c r="E7" s="42">
        <v>14.961</v>
      </c>
      <c r="F7" s="42">
        <v>2</v>
      </c>
      <c r="G7" s="43">
        <f>347.62336*E7*F7</f>
        <v>10401.58617792</v>
      </c>
      <c r="H7" s="43">
        <f t="shared" si="3"/>
        <v>0</v>
      </c>
      <c r="I7" s="43">
        <f t="shared" si="0"/>
        <v>0</v>
      </c>
      <c r="J7" s="43">
        <f>330.93743872*E7*F7</f>
        <v>9902.31004137984</v>
      </c>
      <c r="K7" s="43">
        <f>71.2488838656*E7*F7</f>
        <v>2131.9091030264835</v>
      </c>
      <c r="L7" s="43">
        <f>69.524672*E7*F7</f>
        <v>2080.3172355839997</v>
      </c>
      <c r="M7" s="90">
        <f t="shared" si="1"/>
        <v>24516.122557910323</v>
      </c>
      <c r="N7" s="123">
        <f t="shared" si="2"/>
        <v>2043.0102131591937</v>
      </c>
      <c r="O7" s="56">
        <f t="shared" si="4"/>
        <v>0.22455596979107426</v>
      </c>
      <c r="P7" s="73" t="s">
        <v>205</v>
      </c>
    </row>
    <row r="8" spans="2:16" s="45" customFormat="1" ht="12.75">
      <c r="B8" s="89">
        <v>4</v>
      </c>
      <c r="C8" s="77" t="s">
        <v>18</v>
      </c>
      <c r="D8" s="41" t="s">
        <v>16</v>
      </c>
      <c r="E8" s="42">
        <v>14.961</v>
      </c>
      <c r="F8" s="42">
        <v>2</v>
      </c>
      <c r="G8" s="43">
        <f>504.2464*E8*F8</f>
        <v>15088.0607808</v>
      </c>
      <c r="H8" s="43">
        <f t="shared" si="3"/>
        <v>0</v>
      </c>
      <c r="I8" s="43">
        <f t="shared" si="0"/>
        <v>0</v>
      </c>
      <c r="J8" s="43">
        <f>480.0425728*E8*F8</f>
        <v>14363.8338633216</v>
      </c>
      <c r="K8" s="43">
        <f>103.350342144*E8*F8</f>
        <v>3092.448937632768</v>
      </c>
      <c r="L8" s="43">
        <f>100.84928*E8*F8</f>
        <v>3017.61215616</v>
      </c>
      <c r="M8" s="90">
        <f t="shared" si="1"/>
        <v>35561.95573791437</v>
      </c>
      <c r="N8" s="123">
        <f t="shared" si="2"/>
        <v>2963.4963114928646</v>
      </c>
      <c r="O8" s="56">
        <f t="shared" si="4"/>
        <v>0.3257305244551401</v>
      </c>
      <c r="P8" s="73" t="s">
        <v>205</v>
      </c>
    </row>
    <row r="9" spans="2:16" s="45" customFormat="1" ht="12.75" customHeight="1">
      <c r="B9" s="124">
        <v>5</v>
      </c>
      <c r="C9" s="125" t="s">
        <v>19</v>
      </c>
      <c r="D9" s="46" t="s">
        <v>20</v>
      </c>
      <c r="E9" s="55">
        <v>1.3436</v>
      </c>
      <c r="F9" s="55">
        <v>2</v>
      </c>
      <c r="G9" s="126">
        <f>352.97248*E9*F9</f>
        <v>948.507648256</v>
      </c>
      <c r="H9" s="126">
        <f t="shared" si="3"/>
        <v>0</v>
      </c>
      <c r="I9" s="126">
        <f t="shared" si="0"/>
        <v>0</v>
      </c>
      <c r="J9" s="126">
        <f>336.02980096*E9*F9</f>
        <v>902.9792811397119</v>
      </c>
      <c r="K9" s="126">
        <f>72.3452395008*E9*F9</f>
        <v>194.40612758654976</v>
      </c>
      <c r="L9" s="126">
        <f>70.594496*E9*F9</f>
        <v>189.7015296512</v>
      </c>
      <c r="M9" s="118">
        <f t="shared" si="1"/>
        <v>2235.594586633462</v>
      </c>
      <c r="N9" s="123">
        <f t="shared" si="2"/>
        <v>186.2995488861218</v>
      </c>
      <c r="O9" s="56">
        <f t="shared" si="4"/>
        <v>0.02047697833437259</v>
      </c>
      <c r="P9" s="73" t="s">
        <v>205</v>
      </c>
    </row>
    <row r="10" spans="2:16" s="45" customFormat="1" ht="12.75" customHeight="1">
      <c r="B10" s="91">
        <v>6</v>
      </c>
      <c r="C10" s="38" t="s">
        <v>244</v>
      </c>
      <c r="D10" s="38" t="s">
        <v>245</v>
      </c>
      <c r="E10" s="132">
        <v>2</v>
      </c>
      <c r="F10" s="132">
        <v>1</v>
      </c>
      <c r="G10" s="133">
        <f>1933.638*E10*F10</f>
        <v>3867.276</v>
      </c>
      <c r="H10" s="133">
        <f t="shared" si="3"/>
        <v>0</v>
      </c>
      <c r="I10" s="133">
        <f>0*E10*F10</f>
        <v>0</v>
      </c>
      <c r="J10" s="133">
        <f>1840.823376*E10*F10</f>
        <v>3681.646752</v>
      </c>
      <c r="K10" s="133">
        <f>396.31844448*E10*F10</f>
        <v>792.63688896</v>
      </c>
      <c r="L10" s="133">
        <f>386.7276*E10*F10</f>
        <v>773.4552</v>
      </c>
      <c r="M10" s="136">
        <f>SUM(G10:L10)</f>
        <v>9115.01484096</v>
      </c>
      <c r="N10" s="123">
        <f t="shared" si="2"/>
        <v>759.58457008</v>
      </c>
      <c r="O10" s="56">
        <f t="shared" si="4"/>
        <v>0.08348918114750495</v>
      </c>
      <c r="P10" s="73" t="s">
        <v>207</v>
      </c>
    </row>
    <row r="11" spans="2:16" s="45" customFormat="1" ht="12.75" customHeight="1">
      <c r="B11" s="89">
        <v>7</v>
      </c>
      <c r="C11" s="38" t="s">
        <v>246</v>
      </c>
      <c r="D11" s="38" t="s">
        <v>245</v>
      </c>
      <c r="E11" s="132">
        <v>1</v>
      </c>
      <c r="F11" s="132">
        <v>1</v>
      </c>
      <c r="G11" s="133">
        <f>2209.872*E11*F11</f>
        <v>2209.872</v>
      </c>
      <c r="H11" s="133">
        <f t="shared" si="3"/>
        <v>0</v>
      </c>
      <c r="I11" s="133">
        <f>0*E11*F11</f>
        <v>0</v>
      </c>
      <c r="J11" s="133">
        <f>2103.798144*E11*F11</f>
        <v>2103.798144</v>
      </c>
      <c r="K11" s="133">
        <f>452.93536512*E11*F11</f>
        <v>452.93536512</v>
      </c>
      <c r="L11" s="133">
        <f>441.9744*E11*F11</f>
        <v>441.9744</v>
      </c>
      <c r="M11" s="136">
        <f>SUM(G11:L11)</f>
        <v>5208.57990912</v>
      </c>
      <c r="N11" s="123">
        <f t="shared" si="2"/>
        <v>434.04832575999995</v>
      </c>
      <c r="O11" s="56">
        <f t="shared" si="4"/>
        <v>0.047708103512859965</v>
      </c>
      <c r="P11" s="73" t="s">
        <v>207</v>
      </c>
    </row>
    <row r="12" spans="2:16" s="45" customFormat="1" ht="12.75" customHeight="1">
      <c r="B12" s="124">
        <v>8</v>
      </c>
      <c r="C12" s="38" t="s">
        <v>249</v>
      </c>
      <c r="D12" s="38" t="s">
        <v>247</v>
      </c>
      <c r="E12" s="132">
        <v>0.08</v>
      </c>
      <c r="F12" s="132">
        <v>12</v>
      </c>
      <c r="G12" s="133">
        <f>1341.312*E12*F12</f>
        <v>1287.65952</v>
      </c>
      <c r="H12" s="133">
        <f t="shared" si="3"/>
        <v>0</v>
      </c>
      <c r="I12" s="133">
        <f>0*E12*F12</f>
        <v>0</v>
      </c>
      <c r="J12" s="133">
        <f>1276.929024*E12*F12</f>
        <v>1225.85186304</v>
      </c>
      <c r="K12" s="133">
        <f>274.91530752*E12*F12</f>
        <v>263.9186952192</v>
      </c>
      <c r="L12" s="133">
        <f>268.2624*E12*F12</f>
        <v>257.531904</v>
      </c>
      <c r="M12" s="136">
        <f>SUM(G12:L12)</f>
        <v>3034.9619822591994</v>
      </c>
      <c r="N12" s="123">
        <f t="shared" si="2"/>
        <v>252.91349852159996</v>
      </c>
      <c r="O12" s="56">
        <f t="shared" si="4"/>
        <v>0.027798801771993842</v>
      </c>
      <c r="P12" s="122" t="s">
        <v>226</v>
      </c>
    </row>
    <row r="13" spans="2:16" ht="29.25" customHeight="1">
      <c r="B13" s="91">
        <v>9</v>
      </c>
      <c r="C13" s="127" t="s">
        <v>21</v>
      </c>
      <c r="D13" s="128" t="s">
        <v>22</v>
      </c>
      <c r="E13" s="129">
        <v>1</v>
      </c>
      <c r="F13" s="129">
        <v>2</v>
      </c>
      <c r="G13" s="130">
        <f>3958.7632*E13*F13</f>
        <v>7917.5264</v>
      </c>
      <c r="H13" s="130">
        <f>608.164872*E13*F13</f>
        <v>1216.329744</v>
      </c>
      <c r="I13" s="130">
        <f t="shared" si="0"/>
        <v>0</v>
      </c>
      <c r="J13" s="130">
        <f>3768.7425664*E13*F13</f>
        <v>7537.4851328</v>
      </c>
      <c r="K13" s="130">
        <f>875.245417032*E13*F13</f>
        <v>1750.490834064</v>
      </c>
      <c r="L13" s="130">
        <f>791.75264*E13*F13</f>
        <v>1583.50528</v>
      </c>
      <c r="M13" s="131">
        <f t="shared" si="1"/>
        <v>20005.337390864</v>
      </c>
      <c r="N13" s="123">
        <f t="shared" si="2"/>
        <v>1667.1114492386666</v>
      </c>
      <c r="O13" s="56">
        <f t="shared" si="4"/>
        <v>0.1832393327367187</v>
      </c>
      <c r="P13" s="73" t="s">
        <v>205</v>
      </c>
    </row>
    <row r="14" spans="2:16" ht="29.25" customHeight="1">
      <c r="B14" s="89">
        <v>10</v>
      </c>
      <c r="C14" s="78" t="s">
        <v>266</v>
      </c>
      <c r="D14" s="1" t="s">
        <v>223</v>
      </c>
      <c r="E14" s="60">
        <v>100</v>
      </c>
      <c r="F14" s="60">
        <v>1</v>
      </c>
      <c r="G14" s="3">
        <f>50.2992*E14*F14</f>
        <v>5029.92</v>
      </c>
      <c r="H14" s="3">
        <f>227.7324*E14*F14</f>
        <v>22773.24</v>
      </c>
      <c r="I14" s="3">
        <f>0*E14*F14</f>
        <v>0</v>
      </c>
      <c r="J14" s="3">
        <f>47.8848384*E14*F14</f>
        <v>4788.48384</v>
      </c>
      <c r="K14" s="3">
        <f>34.221226032*E14*F14</f>
        <v>3422.1226031999995</v>
      </c>
      <c r="L14" s="3">
        <f>10.05984*E14*F14</f>
        <v>1005.9839999999999</v>
      </c>
      <c r="M14" s="93">
        <f>SUM(G14:L14)</f>
        <v>37019.7504432</v>
      </c>
      <c r="N14" s="123">
        <f t="shared" si="2"/>
        <v>3084.9792036</v>
      </c>
      <c r="O14" s="56">
        <f t="shared" si="4"/>
        <v>0.33908322747856673</v>
      </c>
      <c r="P14" s="73" t="s">
        <v>224</v>
      </c>
    </row>
    <row r="15" spans="2:16" ht="13.5" customHeight="1">
      <c r="B15" s="124">
        <v>11</v>
      </c>
      <c r="C15" s="59" t="s">
        <v>23</v>
      </c>
      <c r="D15" s="22" t="s">
        <v>24</v>
      </c>
      <c r="E15" s="23">
        <v>0.68</v>
      </c>
      <c r="F15" s="23">
        <v>2</v>
      </c>
      <c r="G15" s="24">
        <f>1134.5544*E15*F15</f>
        <v>1542.9939840000002</v>
      </c>
      <c r="H15" s="24">
        <f>0*E15*F15</f>
        <v>0</v>
      </c>
      <c r="I15" s="24">
        <f t="shared" si="0"/>
        <v>0</v>
      </c>
      <c r="J15" s="24">
        <f>1080.0957888*E15*F15</f>
        <v>1468.9302727680001</v>
      </c>
      <c r="K15" s="24">
        <f>232.538269824*E15*F15</f>
        <v>316.25204696064003</v>
      </c>
      <c r="L15" s="24">
        <f>226.91088*E15*F15</f>
        <v>308.5987968</v>
      </c>
      <c r="M15" s="92">
        <f t="shared" si="1"/>
        <v>3636.7751005286405</v>
      </c>
      <c r="N15" s="123">
        <f t="shared" si="2"/>
        <v>303.06459171072004</v>
      </c>
      <c r="O15" s="56">
        <f t="shared" si="4"/>
        <v>0.0333111224126973</v>
      </c>
      <c r="P15" s="73" t="s">
        <v>205</v>
      </c>
    </row>
    <row r="16" spans="2:16" ht="12.75">
      <c r="B16" s="91">
        <v>12</v>
      </c>
      <c r="C16" s="59" t="s">
        <v>25</v>
      </c>
      <c r="D16" s="22" t="s">
        <v>26</v>
      </c>
      <c r="E16" s="23">
        <v>12</v>
      </c>
      <c r="F16" s="23">
        <v>1</v>
      </c>
      <c r="G16" s="24">
        <f>558.88*E16*F16</f>
        <v>6706.5599999999995</v>
      </c>
      <c r="H16" s="24">
        <f>303.59812*E16*F16</f>
        <v>3643.17744</v>
      </c>
      <c r="I16" s="24">
        <f t="shared" si="0"/>
        <v>0</v>
      </c>
      <c r="J16" s="24">
        <f>532.05376*E16*F16</f>
        <v>6384.64512</v>
      </c>
      <c r="K16" s="24">
        <f>146.4258474*E16*F16</f>
        <v>1757.1101688</v>
      </c>
      <c r="L16" s="24">
        <f>111.776*E16*F16</f>
        <v>1341.312</v>
      </c>
      <c r="M16" s="92">
        <f t="shared" si="1"/>
        <v>19832.8047288</v>
      </c>
      <c r="N16" s="123">
        <f t="shared" si="2"/>
        <v>1652.7337274000001</v>
      </c>
      <c r="O16" s="56">
        <f t="shared" si="4"/>
        <v>0.18165901598153442</v>
      </c>
      <c r="P16" s="73" t="s">
        <v>207</v>
      </c>
    </row>
    <row r="17" spans="2:16" ht="12.75">
      <c r="B17" s="89">
        <v>13</v>
      </c>
      <c r="C17" s="59" t="s">
        <v>27</v>
      </c>
      <c r="D17" s="22" t="s">
        <v>26</v>
      </c>
      <c r="E17" s="23">
        <v>12</v>
      </c>
      <c r="F17" s="23">
        <v>1</v>
      </c>
      <c r="G17" s="24">
        <f>223.552*E17*F17</f>
        <v>2682.624</v>
      </c>
      <c r="H17" s="24">
        <f>0*E17*F17</f>
        <v>0</v>
      </c>
      <c r="I17" s="24">
        <f t="shared" si="0"/>
        <v>0</v>
      </c>
      <c r="J17" s="24">
        <f>212.821504*E17*F17</f>
        <v>2553.858048</v>
      </c>
      <c r="K17" s="24">
        <f>45.81921792*E17*F17</f>
        <v>549.83061504</v>
      </c>
      <c r="L17" s="24">
        <f>44.7104*E17*F17</f>
        <v>536.5248</v>
      </c>
      <c r="M17" s="92">
        <f t="shared" si="1"/>
        <v>6322.83746304</v>
      </c>
      <c r="N17" s="123">
        <f t="shared" si="2"/>
        <v>526.90312192</v>
      </c>
      <c r="O17" s="56">
        <f t="shared" si="4"/>
        <v>0.057914170358320506</v>
      </c>
      <c r="P17" s="73" t="s">
        <v>207</v>
      </c>
    </row>
    <row r="18" spans="2:16" ht="12.75">
      <c r="B18" s="124">
        <v>14</v>
      </c>
      <c r="C18" s="59" t="s">
        <v>28</v>
      </c>
      <c r="D18" s="22" t="s">
        <v>29</v>
      </c>
      <c r="E18" s="23">
        <v>1</v>
      </c>
      <c r="F18" s="23">
        <v>1</v>
      </c>
      <c r="G18" s="24">
        <f>31.935604913128*E18*F18</f>
        <v>31.935604913128</v>
      </c>
      <c r="H18" s="24">
        <f>0*E18*F18</f>
        <v>0</v>
      </c>
      <c r="I18" s="24">
        <f t="shared" si="0"/>
        <v>0</v>
      </c>
      <c r="J18" s="24">
        <f>30.402695877298*E18*F18</f>
        <v>30.402695877298</v>
      </c>
      <c r="K18" s="24">
        <f>6.5455215829947*E18*F18</f>
        <v>6.5455215829947</v>
      </c>
      <c r="L18" s="24">
        <f>6.3871209826256*E18*F18</f>
        <v>6.3871209826256</v>
      </c>
      <c r="M18" s="92">
        <f t="shared" si="1"/>
        <v>75.2709433560463</v>
      </c>
      <c r="N18" s="123">
        <f t="shared" si="2"/>
        <v>6.2725786130038585</v>
      </c>
      <c r="O18" s="56">
        <f t="shared" si="4"/>
        <v>0.0006894458796443019</v>
      </c>
      <c r="P18" s="73" t="s">
        <v>207</v>
      </c>
    </row>
    <row r="19" spans="2:16" ht="25.5">
      <c r="B19" s="91">
        <v>15</v>
      </c>
      <c r="C19" s="59" t="s">
        <v>30</v>
      </c>
      <c r="D19" s="22" t="s">
        <v>31</v>
      </c>
      <c r="E19" s="23">
        <v>1.384</v>
      </c>
      <c r="F19" s="23">
        <v>2</v>
      </c>
      <c r="G19" s="24">
        <f>504.2464*E19*F19</f>
        <v>1395.7540351999999</v>
      </c>
      <c r="H19" s="24">
        <f>0*E19*F19</f>
        <v>0</v>
      </c>
      <c r="I19" s="24">
        <f t="shared" si="0"/>
        <v>0</v>
      </c>
      <c r="J19" s="24">
        <f>480.0425728*E19*F19</f>
        <v>1328.7578415103999</v>
      </c>
      <c r="K19" s="24">
        <f>103.350342144*E19*F19</f>
        <v>286.073747054592</v>
      </c>
      <c r="L19" s="24">
        <f>100.84928*E19*F19</f>
        <v>279.15080703999996</v>
      </c>
      <c r="M19" s="92">
        <f t="shared" si="1"/>
        <v>3289.7364308049914</v>
      </c>
      <c r="N19" s="123">
        <f t="shared" si="2"/>
        <v>274.1447025670826</v>
      </c>
      <c r="O19" s="56">
        <f t="shared" si="4"/>
        <v>0.03013241399945951</v>
      </c>
      <c r="P19" s="73" t="s">
        <v>205</v>
      </c>
    </row>
    <row r="20" spans="2:16" ht="12.75">
      <c r="B20" s="89">
        <v>16</v>
      </c>
      <c r="C20" s="59" t="s">
        <v>32</v>
      </c>
      <c r="D20" s="22" t="s">
        <v>33</v>
      </c>
      <c r="E20" s="23">
        <v>1</v>
      </c>
      <c r="F20" s="23">
        <v>4</v>
      </c>
      <c r="G20" s="24">
        <f>447.104*E20*F20</f>
        <v>1788.416</v>
      </c>
      <c r="H20" s="24">
        <f>0*E20*F20</f>
        <v>0</v>
      </c>
      <c r="I20" s="24">
        <f t="shared" si="0"/>
        <v>0</v>
      </c>
      <c r="J20" s="24">
        <f>425.643008*E20*F20</f>
        <v>1702.572032</v>
      </c>
      <c r="K20" s="24">
        <f>91.63843584*E20*F20</f>
        <v>366.55374336</v>
      </c>
      <c r="L20" s="24">
        <f>89.4208*E20*F20</f>
        <v>357.6832</v>
      </c>
      <c r="M20" s="92">
        <f t="shared" si="1"/>
        <v>4215.224975360001</v>
      </c>
      <c r="N20" s="123">
        <f t="shared" si="2"/>
        <v>351.26874794666674</v>
      </c>
      <c r="O20" s="56">
        <f t="shared" si="4"/>
        <v>0.03860944690554701</v>
      </c>
      <c r="P20" s="73" t="s">
        <v>206</v>
      </c>
    </row>
    <row r="21" spans="2:16" ht="14.25" customHeight="1">
      <c r="B21" s="124">
        <v>17</v>
      </c>
      <c r="C21" s="59" t="s">
        <v>34</v>
      </c>
      <c r="D21" s="22" t="s">
        <v>35</v>
      </c>
      <c r="E21" s="23">
        <v>1</v>
      </c>
      <c r="F21" s="23">
        <v>1</v>
      </c>
      <c r="G21" s="24">
        <f>439.198592*E21*F21</f>
        <v>439.198592</v>
      </c>
      <c r="H21" s="24">
        <f>3.308846226*E21*F21</f>
        <v>3.308846226</v>
      </c>
      <c r="I21" s="24">
        <f t="shared" si="0"/>
        <v>0</v>
      </c>
      <c r="J21" s="24">
        <f>418.117059584*E21*F21</f>
        <v>418.117059584</v>
      </c>
      <c r="K21" s="24">
        <f>90.36557227005*E21*F21</f>
        <v>90.36557227005</v>
      </c>
      <c r="L21" s="24">
        <f>87.8397184*E21*F21</f>
        <v>87.8397184</v>
      </c>
      <c r="M21" s="92">
        <f t="shared" si="1"/>
        <v>1038.8297884800502</v>
      </c>
      <c r="N21" s="123">
        <f t="shared" si="2"/>
        <v>86.56914904000418</v>
      </c>
      <c r="O21" s="56">
        <f t="shared" si="4"/>
        <v>0.009515184550451108</v>
      </c>
      <c r="P21" s="73" t="s">
        <v>207</v>
      </c>
    </row>
    <row r="22" spans="2:16" ht="14.25" customHeight="1">
      <c r="B22" s="91">
        <v>18</v>
      </c>
      <c r="C22" s="59" t="s">
        <v>36</v>
      </c>
      <c r="D22" s="22" t="s">
        <v>35</v>
      </c>
      <c r="E22" s="23">
        <v>1</v>
      </c>
      <c r="F22" s="23">
        <v>1</v>
      </c>
      <c r="G22" s="24">
        <f>439.198592*E22*F22</f>
        <v>439.198592</v>
      </c>
      <c r="H22" s="24">
        <f>3.308846226*E22*F22</f>
        <v>3.308846226</v>
      </c>
      <c r="I22" s="24">
        <f t="shared" si="0"/>
        <v>0</v>
      </c>
      <c r="J22" s="24">
        <f>418.117059584*E22*F22</f>
        <v>418.117059584</v>
      </c>
      <c r="K22" s="24">
        <f>90.36557227005*E22*F22</f>
        <v>90.36557227005</v>
      </c>
      <c r="L22" s="24">
        <f>87.8397184*E22*F22</f>
        <v>87.8397184</v>
      </c>
      <c r="M22" s="92">
        <f t="shared" si="1"/>
        <v>1038.8297884800502</v>
      </c>
      <c r="N22" s="123">
        <f t="shared" si="2"/>
        <v>86.56914904000418</v>
      </c>
      <c r="O22" s="56">
        <f t="shared" si="4"/>
        <v>0.009515184550451108</v>
      </c>
      <c r="P22" s="73" t="s">
        <v>207</v>
      </c>
    </row>
    <row r="23" spans="2:16" ht="15.75" customHeight="1">
      <c r="B23" s="89">
        <v>19</v>
      </c>
      <c r="C23" s="59" t="s">
        <v>37</v>
      </c>
      <c r="D23" s="22" t="s">
        <v>38</v>
      </c>
      <c r="E23" s="23">
        <v>4</v>
      </c>
      <c r="F23" s="23">
        <v>4</v>
      </c>
      <c r="G23" s="24">
        <f>13.41312*E23*F23</f>
        <v>214.60992</v>
      </c>
      <c r="H23" s="24">
        <f aca="true" t="shared" si="5" ref="H23:H33">0*E23*F23</f>
        <v>0</v>
      </c>
      <c r="I23" s="24">
        <f t="shared" si="0"/>
        <v>0</v>
      </c>
      <c r="J23" s="24">
        <f>12.76929024*E23*F23</f>
        <v>204.30864384</v>
      </c>
      <c r="K23" s="24">
        <f>2.7491530752*E23*F23</f>
        <v>43.9864492032</v>
      </c>
      <c r="L23" s="24">
        <f>2.682624*E23*F23</f>
        <v>42.921984</v>
      </c>
      <c r="M23" s="92">
        <f t="shared" si="1"/>
        <v>505.8269970432</v>
      </c>
      <c r="N23" s="123">
        <f t="shared" si="2"/>
        <v>42.152249753599996</v>
      </c>
      <c r="O23" s="56">
        <f t="shared" si="4"/>
        <v>0.004633133628665641</v>
      </c>
      <c r="P23" s="73" t="s">
        <v>206</v>
      </c>
    </row>
    <row r="24" spans="2:16" ht="27.75" customHeight="1">
      <c r="B24" s="124">
        <v>20</v>
      </c>
      <c r="C24" s="59" t="s">
        <v>220</v>
      </c>
      <c r="D24" s="22" t="s">
        <v>39</v>
      </c>
      <c r="E24" s="23">
        <v>3</v>
      </c>
      <c r="F24" s="23">
        <v>12</v>
      </c>
      <c r="G24" s="24">
        <f>11.1776*E24*F24</f>
        <v>402.3936</v>
      </c>
      <c r="H24" s="24">
        <f t="shared" si="5"/>
        <v>0</v>
      </c>
      <c r="I24" s="24">
        <f t="shared" si="0"/>
        <v>0</v>
      </c>
      <c r="J24" s="24">
        <f>10.6410752*E24*F24</f>
        <v>383.0787072</v>
      </c>
      <c r="K24" s="24">
        <f>2.290960896*E24*F24</f>
        <v>82.47459225600001</v>
      </c>
      <c r="L24" s="24">
        <f>2.23552*E24*F24</f>
        <v>80.47872000000001</v>
      </c>
      <c r="M24" s="92">
        <f t="shared" si="1"/>
        <v>948.425619456</v>
      </c>
      <c r="N24" s="123">
        <f t="shared" si="2"/>
        <v>79.035468288</v>
      </c>
      <c r="O24" s="56">
        <f t="shared" si="4"/>
        <v>0.008687125553748077</v>
      </c>
      <c r="P24" s="73" t="s">
        <v>208</v>
      </c>
    </row>
    <row r="25" spans="2:16" ht="30" customHeight="1">
      <c r="B25" s="91">
        <v>21</v>
      </c>
      <c r="C25" s="59" t="s">
        <v>40</v>
      </c>
      <c r="D25" s="22" t="s">
        <v>41</v>
      </c>
      <c r="E25" s="23">
        <v>2</v>
      </c>
      <c r="F25" s="23">
        <v>1</v>
      </c>
      <c r="G25" s="24">
        <f>96.12736*E25*F25</f>
        <v>192.25472</v>
      </c>
      <c r="H25" s="24">
        <f t="shared" si="5"/>
        <v>0</v>
      </c>
      <c r="I25" s="24">
        <f t="shared" si="0"/>
        <v>0</v>
      </c>
      <c r="J25" s="24">
        <f>91.51324672*E25*F25</f>
        <v>183.02649344</v>
      </c>
      <c r="K25" s="24">
        <f>19.7022637056*E25*F25</f>
        <v>39.4045274112</v>
      </c>
      <c r="L25" s="24">
        <f>19.225472*E25*F25</f>
        <v>38.450944</v>
      </c>
      <c r="M25" s="92">
        <f t="shared" si="1"/>
        <v>453.13668485119996</v>
      </c>
      <c r="N25" s="123">
        <f t="shared" si="2"/>
        <v>37.76139040426666</v>
      </c>
      <c r="O25" s="56">
        <f t="shared" si="4"/>
        <v>0.004150515542346303</v>
      </c>
      <c r="P25" s="73" t="s">
        <v>221</v>
      </c>
    </row>
    <row r="26" spans="2:16" ht="32.25" customHeight="1">
      <c r="B26" s="89">
        <v>22</v>
      </c>
      <c r="C26" s="59" t="s">
        <v>42</v>
      </c>
      <c r="D26" s="22" t="s">
        <v>39</v>
      </c>
      <c r="E26" s="23">
        <v>3</v>
      </c>
      <c r="F26" s="23">
        <v>1</v>
      </c>
      <c r="G26" s="24">
        <f>25.21232*E26*F26</f>
        <v>75.63695999999999</v>
      </c>
      <c r="H26" s="24">
        <f t="shared" si="5"/>
        <v>0</v>
      </c>
      <c r="I26" s="24">
        <f t="shared" si="0"/>
        <v>0</v>
      </c>
      <c r="J26" s="24">
        <f>24.00212864*E26*F26</f>
        <v>72.00638592</v>
      </c>
      <c r="K26" s="24">
        <f>5.1675171072*E26*F26</f>
        <v>15.5025513216</v>
      </c>
      <c r="L26" s="24">
        <f>5.042464*E26*F26</f>
        <v>15.127392</v>
      </c>
      <c r="M26" s="92">
        <f t="shared" si="1"/>
        <v>178.27328924160003</v>
      </c>
      <c r="N26" s="123">
        <f t="shared" si="2"/>
        <v>14.856107436800002</v>
      </c>
      <c r="O26" s="56">
        <f t="shared" si="4"/>
        <v>0.0016328981574851619</v>
      </c>
      <c r="P26" s="73" t="s">
        <v>207</v>
      </c>
    </row>
    <row r="27" spans="2:16" ht="27.75" customHeight="1">
      <c r="B27" s="124">
        <v>23</v>
      </c>
      <c r="C27" s="59" t="s">
        <v>44</v>
      </c>
      <c r="D27" s="22" t="s">
        <v>41</v>
      </c>
      <c r="E27" s="23">
        <v>6</v>
      </c>
      <c r="F27" s="23">
        <v>1</v>
      </c>
      <c r="G27" s="24">
        <f>108.412976*E27*F27</f>
        <v>650.477856</v>
      </c>
      <c r="H27" s="24">
        <f t="shared" si="5"/>
        <v>0</v>
      </c>
      <c r="I27" s="24">
        <f t="shared" si="0"/>
        <v>0</v>
      </c>
      <c r="J27" s="24">
        <f>103.209153152*E27*F27</f>
        <v>619.254918912</v>
      </c>
      <c r="K27" s="24">
        <f>22.22032356096*E27*F27</f>
        <v>133.32194136576</v>
      </c>
      <c r="L27" s="24">
        <f>21.6825952*E27*F27</f>
        <v>130.0955712</v>
      </c>
      <c r="M27" s="92">
        <f t="shared" si="1"/>
        <v>1533.15028747776</v>
      </c>
      <c r="N27" s="123">
        <f t="shared" si="2"/>
        <v>127.76252395648</v>
      </c>
      <c r="O27" s="56">
        <f t="shared" si="4"/>
        <v>0.01404292415437239</v>
      </c>
      <c r="P27" s="73" t="s">
        <v>222</v>
      </c>
    </row>
    <row r="28" spans="2:16" ht="27.75" customHeight="1">
      <c r="B28" s="91">
        <v>24</v>
      </c>
      <c r="C28" s="59" t="s">
        <v>45</v>
      </c>
      <c r="D28" s="22" t="s">
        <v>43</v>
      </c>
      <c r="E28" s="23">
        <v>1</v>
      </c>
      <c r="F28" s="23">
        <v>1</v>
      </c>
      <c r="G28" s="24">
        <f>25.21232*E28*F28</f>
        <v>25.21232</v>
      </c>
      <c r="H28" s="24">
        <f t="shared" si="5"/>
        <v>0</v>
      </c>
      <c r="I28" s="24">
        <f t="shared" si="0"/>
        <v>0</v>
      </c>
      <c r="J28" s="24">
        <f>24.00212864*E28*F28</f>
        <v>24.00212864</v>
      </c>
      <c r="K28" s="24">
        <f>5.1675171072*E28*F28</f>
        <v>5.1675171072</v>
      </c>
      <c r="L28" s="24">
        <f>5.042464*E28*F28</f>
        <v>5.042464</v>
      </c>
      <c r="M28" s="92">
        <f t="shared" si="1"/>
        <v>59.4244297472</v>
      </c>
      <c r="N28" s="123">
        <f t="shared" si="2"/>
        <v>4.952035812266667</v>
      </c>
      <c r="O28" s="56">
        <f t="shared" si="4"/>
        <v>0.0005442993858283872</v>
      </c>
      <c r="P28" s="73" t="s">
        <v>205</v>
      </c>
    </row>
    <row r="29" spans="2:16" ht="30" customHeight="1">
      <c r="B29" s="89">
        <v>25</v>
      </c>
      <c r="C29" s="59" t="s">
        <v>203</v>
      </c>
      <c r="D29" s="22" t="s">
        <v>43</v>
      </c>
      <c r="E29" s="23">
        <v>1</v>
      </c>
      <c r="F29" s="23">
        <v>12</v>
      </c>
      <c r="G29" s="24">
        <f>19.45496*E29*F29</f>
        <v>233.45952</v>
      </c>
      <c r="H29" s="24">
        <f t="shared" si="5"/>
        <v>0</v>
      </c>
      <c r="I29" s="24">
        <f t="shared" si="0"/>
        <v>0</v>
      </c>
      <c r="J29" s="24">
        <f>18.52112192*E29*F29</f>
        <v>222.25346303999999</v>
      </c>
      <c r="K29" s="24">
        <f>3.9874886016*E29*F29</f>
        <v>47.8498632192</v>
      </c>
      <c r="L29" s="24">
        <f>3.890992*E29*F29</f>
        <v>46.691903999999994</v>
      </c>
      <c r="M29" s="92">
        <f t="shared" si="1"/>
        <v>550.2547502592</v>
      </c>
      <c r="N29" s="123">
        <f t="shared" si="2"/>
        <v>45.8545625216</v>
      </c>
      <c r="O29" s="56">
        <f t="shared" si="4"/>
        <v>0.005040070622290614</v>
      </c>
      <c r="P29" s="73" t="s">
        <v>208</v>
      </c>
    </row>
    <row r="30" spans="2:16" ht="30" customHeight="1" thickBot="1">
      <c r="B30" s="152"/>
      <c r="C30" s="22" t="s">
        <v>264</v>
      </c>
      <c r="D30" s="22" t="s">
        <v>43</v>
      </c>
      <c r="E30" s="23">
        <v>1</v>
      </c>
      <c r="F30" s="23">
        <v>12</v>
      </c>
      <c r="G30" s="24">
        <f>90.764352*E30*F30</f>
        <v>1089.172224</v>
      </c>
      <c r="H30" s="24">
        <f t="shared" si="5"/>
        <v>0</v>
      </c>
      <c r="I30" s="24">
        <f t="shared" si="0"/>
        <v>0</v>
      </c>
      <c r="J30" s="24">
        <f>86.407663104*E30*F30</f>
        <v>1036.891957248</v>
      </c>
      <c r="K30" s="24">
        <f>18.60306158592*E30*F30</f>
        <v>223.23673903103997</v>
      </c>
      <c r="L30" s="24">
        <f>18.1528704*E30*F30</f>
        <v>217.83444480000003</v>
      </c>
      <c r="M30" s="150">
        <f t="shared" si="1"/>
        <v>2567.1353650790397</v>
      </c>
      <c r="N30" s="151">
        <f t="shared" si="2"/>
        <v>213.92794708991997</v>
      </c>
      <c r="O30" s="151">
        <f t="shared" si="4"/>
        <v>0.023513733467786322</v>
      </c>
      <c r="P30" s="149" t="s">
        <v>263</v>
      </c>
    </row>
    <row r="31" spans="2:16" ht="30" customHeight="1" thickBot="1">
      <c r="B31" s="152"/>
      <c r="C31" s="22" t="s">
        <v>265</v>
      </c>
      <c r="D31" s="22" t="s">
        <v>39</v>
      </c>
      <c r="E31" s="23">
        <v>2</v>
      </c>
      <c r="F31" s="23">
        <v>12</v>
      </c>
      <c r="G31" s="24">
        <f>152.59188*E31*F31</f>
        <v>3662.20512</v>
      </c>
      <c r="H31" s="24">
        <f t="shared" si="5"/>
        <v>0</v>
      </c>
      <c r="I31" s="24">
        <f t="shared" si="0"/>
        <v>0</v>
      </c>
      <c r="J31" s="24">
        <f>145.26746976*E31*F31</f>
        <v>3486.41927424</v>
      </c>
      <c r="K31" s="24">
        <f>31.2752317248*E31*F31</f>
        <v>750.6055613952001</v>
      </c>
      <c r="L31" s="24">
        <f>30.518376*E31*F31</f>
        <v>732.441024</v>
      </c>
      <c r="M31" s="150">
        <f t="shared" si="1"/>
        <v>8631.6709796352</v>
      </c>
      <c r="N31" s="151">
        <f t="shared" si="2"/>
        <v>719.3059149696</v>
      </c>
      <c r="O31" s="151">
        <f t="shared" si="4"/>
        <v>0.07906198230046164</v>
      </c>
      <c r="P31" s="149" t="s">
        <v>263</v>
      </c>
    </row>
    <row r="32" spans="2:16" ht="24" customHeight="1">
      <c r="B32" s="124">
        <v>26</v>
      </c>
      <c r="C32" s="59" t="s">
        <v>209</v>
      </c>
      <c r="D32" s="22" t="s">
        <v>43</v>
      </c>
      <c r="E32" s="23">
        <v>2</v>
      </c>
      <c r="F32" s="23">
        <v>12</v>
      </c>
      <c r="G32" s="24">
        <f>233.45952*E32*F32</f>
        <v>5603.02848</v>
      </c>
      <c r="H32" s="24">
        <f t="shared" si="5"/>
        <v>0</v>
      </c>
      <c r="I32" s="24">
        <f t="shared" si="0"/>
        <v>0</v>
      </c>
      <c r="J32" s="24">
        <f>222.25346304*E32*F32</f>
        <v>5334.08311296</v>
      </c>
      <c r="K32" s="24">
        <f>47.8498632192*E32*F32</f>
        <v>1148.3967172608</v>
      </c>
      <c r="L32" s="24">
        <f>46.691904*E32*F32</f>
        <v>1120.605696</v>
      </c>
      <c r="M32" s="92">
        <f t="shared" si="1"/>
        <v>13206.114006220801</v>
      </c>
      <c r="N32" s="123">
        <f t="shared" si="2"/>
        <v>1100.5095005184</v>
      </c>
      <c r="O32" s="56">
        <f t="shared" si="4"/>
        <v>0.12096169493497473</v>
      </c>
      <c r="P32" s="73" t="s">
        <v>208</v>
      </c>
    </row>
    <row r="33" spans="2:16" ht="51.75" customHeight="1" thickBot="1">
      <c r="B33" s="91">
        <v>27</v>
      </c>
      <c r="C33" s="94" t="s">
        <v>46</v>
      </c>
      <c r="D33" s="95" t="s">
        <v>47</v>
      </c>
      <c r="E33" s="96">
        <v>9.098</v>
      </c>
      <c r="F33" s="96">
        <v>8</v>
      </c>
      <c r="G33" s="97">
        <f>1011.338272*E33*F33</f>
        <v>73609.244789248</v>
      </c>
      <c r="H33" s="97">
        <f t="shared" si="5"/>
        <v>0</v>
      </c>
      <c r="I33" s="97">
        <f t="shared" si="0"/>
        <v>0</v>
      </c>
      <c r="J33" s="97">
        <f>962.794034944*E33*F33</f>
        <v>70076.0010393641</v>
      </c>
      <c r="K33" s="97">
        <f>207.28389222912*E33*F33</f>
        <v>15086.950812004272</v>
      </c>
      <c r="L33" s="97">
        <f>202.2676544*E33*F33</f>
        <v>14721.848957849601</v>
      </c>
      <c r="M33" s="98">
        <f t="shared" si="1"/>
        <v>173494.04559846598</v>
      </c>
      <c r="N33" s="135">
        <f t="shared" si="2"/>
        <v>14457.837133205498</v>
      </c>
      <c r="O33" s="75">
        <f t="shared" si="4"/>
        <v>1.5891225690487467</v>
      </c>
      <c r="P33" s="149" t="s">
        <v>260</v>
      </c>
    </row>
    <row r="34" spans="2:16" ht="13.5" thickBot="1">
      <c r="B34" s="168" t="s">
        <v>48</v>
      </c>
      <c r="C34" s="169"/>
      <c r="D34" s="169"/>
      <c r="E34" s="169"/>
      <c r="F34" s="170"/>
      <c r="G34" s="79">
        <f aca="true" t="shared" si="6" ref="G34:M34">SUM(G5:G33)</f>
        <v>151097.03901841713</v>
      </c>
      <c r="H34" s="80">
        <f t="shared" si="6"/>
        <v>28483.890460452</v>
      </c>
      <c r="I34" s="80">
        <f t="shared" si="6"/>
        <v>0</v>
      </c>
      <c r="J34" s="80">
        <f t="shared" si="6"/>
        <v>143844.38114553312</v>
      </c>
      <c r="K34" s="80">
        <f t="shared" si="6"/>
        <v>33959.65761556223</v>
      </c>
      <c r="L34" s="81">
        <f t="shared" si="6"/>
        <v>30219.407803683425</v>
      </c>
      <c r="M34" s="82">
        <f t="shared" si="6"/>
        <v>387604.3760436479</v>
      </c>
      <c r="N34" s="67">
        <f>SUM(N5:N33)</f>
        <v>32300.364670303992</v>
      </c>
      <c r="O34" s="67">
        <f>SUM(O5:O33)</f>
        <v>3.5502709024295442</v>
      </c>
      <c r="P34" s="68"/>
    </row>
    <row r="35" spans="2:16" ht="19.5" customHeight="1" thickBot="1">
      <c r="B35" s="171" t="s">
        <v>49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66"/>
      <c r="O35" s="166"/>
      <c r="P35" s="167"/>
    </row>
    <row r="36" spans="2:16" ht="40.5" customHeight="1" thickBot="1">
      <c r="B36" s="83">
        <v>28</v>
      </c>
      <c r="C36" s="84" t="s">
        <v>242</v>
      </c>
      <c r="D36" s="85" t="s">
        <v>50</v>
      </c>
      <c r="E36" s="86">
        <v>1.2982</v>
      </c>
      <c r="F36" s="86">
        <v>240</v>
      </c>
      <c r="G36" s="87">
        <f>120.9158496*E36*F36</f>
        <v>37673.5094281728</v>
      </c>
      <c r="H36" s="87">
        <f>3.00606964*E36*F36</f>
        <v>936.5951055955201</v>
      </c>
      <c r="I36" s="87">
        <f aca="true" t="shared" si="7" ref="I36:I51">0*E36*F36</f>
        <v>0</v>
      </c>
      <c r="J36" s="87">
        <f>115.1118888192*E36*F36</f>
        <v>35865.18097562051</v>
      </c>
      <c r="K36" s="87">
        <f>25.098549846216*E36*F36</f>
        <v>7819.904978485826</v>
      </c>
      <c r="L36" s="87">
        <f>24.18316992*E36*F36</f>
        <v>7534.70188563456</v>
      </c>
      <c r="M36" s="88">
        <f aca="true" t="shared" si="8" ref="M36:M64">SUM(G36:L36)</f>
        <v>89829.89237350921</v>
      </c>
      <c r="N36" s="69">
        <f aca="true" t="shared" si="9" ref="N36:N64">M36/12</f>
        <v>7485.824364459101</v>
      </c>
      <c r="O36" s="70">
        <f>N36/9098</f>
        <v>0.8227988969508795</v>
      </c>
      <c r="P36" s="122" t="s">
        <v>240</v>
      </c>
    </row>
    <row r="37" spans="2:16" s="45" customFormat="1" ht="45" customHeight="1" thickBot="1">
      <c r="B37" s="89">
        <v>29</v>
      </c>
      <c r="C37" s="84" t="s">
        <v>243</v>
      </c>
      <c r="D37" s="41" t="s">
        <v>51</v>
      </c>
      <c r="E37" s="42">
        <v>22.201</v>
      </c>
      <c r="F37" s="42">
        <v>48</v>
      </c>
      <c r="G37" s="43">
        <f>105.5841696*E37*F37</f>
        <v>112515.5591659008</v>
      </c>
      <c r="H37" s="43">
        <f>2.91582536*E37*F37</f>
        <v>3107.2434632332797</v>
      </c>
      <c r="I37" s="43">
        <f t="shared" si="7"/>
        <v>0</v>
      </c>
      <c r="J37" s="43">
        <f>100.5161294592*E37*F37</f>
        <v>107114.81232593756</v>
      </c>
      <c r="K37" s="43">
        <f>21.946693064016*E37*F37</f>
        <v>23387.449570282522</v>
      </c>
      <c r="L37" s="43">
        <f>21.11683392*E37*F37</f>
        <v>22503.111833180163</v>
      </c>
      <c r="M37" s="90">
        <f t="shared" si="8"/>
        <v>268628.1763585344</v>
      </c>
      <c r="N37" s="72">
        <f t="shared" si="9"/>
        <v>22385.6813632112</v>
      </c>
      <c r="O37" s="56">
        <f aca="true" t="shared" si="10" ref="O37:O64">N37/9098</f>
        <v>2.46050575546397</v>
      </c>
      <c r="P37" s="122" t="s">
        <v>257</v>
      </c>
    </row>
    <row r="38" spans="2:16" ht="39" customHeight="1">
      <c r="B38" s="83">
        <v>30</v>
      </c>
      <c r="C38" s="59" t="s">
        <v>52</v>
      </c>
      <c r="D38" s="22" t="s">
        <v>53</v>
      </c>
      <c r="E38" s="23">
        <v>0.132</v>
      </c>
      <c r="F38" s="23">
        <v>240</v>
      </c>
      <c r="G38" s="24">
        <f>102.2112*E38*F38</f>
        <v>3238.0508160000004</v>
      </c>
      <c r="H38" s="24">
        <f>2.9151423*E38*F38</f>
        <v>92.351708064</v>
      </c>
      <c r="I38" s="24">
        <f t="shared" si="7"/>
        <v>0</v>
      </c>
      <c r="J38" s="24">
        <f>97.3050624*E38*F38</f>
        <v>3082.624376832</v>
      </c>
      <c r="K38" s="24">
        <f>21.2552974935*E38*F38</f>
        <v>673.36782459408</v>
      </c>
      <c r="L38" s="24">
        <f>20.44224*E38*F38</f>
        <v>647.6101632000001</v>
      </c>
      <c r="M38" s="92">
        <f t="shared" si="8"/>
        <v>7734.00488869008</v>
      </c>
      <c r="N38" s="72">
        <f t="shared" si="9"/>
        <v>644.50040739084</v>
      </c>
      <c r="O38" s="56">
        <f t="shared" si="10"/>
        <v>0.07083978977696637</v>
      </c>
      <c r="P38" s="122" t="s">
        <v>240</v>
      </c>
    </row>
    <row r="39" spans="2:16" ht="27" customHeight="1" thickBot="1">
      <c r="B39" s="89">
        <v>31</v>
      </c>
      <c r="C39" s="59" t="s">
        <v>54</v>
      </c>
      <c r="D39" s="22" t="s">
        <v>55</v>
      </c>
      <c r="E39" s="23">
        <v>6.38</v>
      </c>
      <c r="F39" s="23">
        <v>1</v>
      </c>
      <c r="G39" s="24">
        <f>91.99008*E39*F39</f>
        <v>586.8967104000001</v>
      </c>
      <c r="H39" s="24">
        <f>1.71732730694*E39*F39</f>
        <v>10.956548218277199</v>
      </c>
      <c r="I39" s="24">
        <f t="shared" si="7"/>
        <v>0</v>
      </c>
      <c r="J39" s="24">
        <f>87.57455616*E39*F39</f>
        <v>558.7256683008</v>
      </c>
      <c r="K39" s="24">
        <f>19.034606164029*E39*F39</f>
        <v>121.44078732650502</v>
      </c>
      <c r="L39" s="24">
        <f>18.398016*E39*F39</f>
        <v>117.37934207999999</v>
      </c>
      <c r="M39" s="92">
        <f t="shared" si="8"/>
        <v>1395.3990563255823</v>
      </c>
      <c r="N39" s="72">
        <f t="shared" si="9"/>
        <v>116.28325469379853</v>
      </c>
      <c r="O39" s="56">
        <f t="shared" si="10"/>
        <v>0.012781188689140308</v>
      </c>
      <c r="P39" s="122" t="s">
        <v>258</v>
      </c>
    </row>
    <row r="40" spans="2:16" ht="27" customHeight="1">
      <c r="B40" s="83">
        <v>32</v>
      </c>
      <c r="C40" s="22" t="s">
        <v>261</v>
      </c>
      <c r="D40" s="22" t="s">
        <v>262</v>
      </c>
      <c r="E40" s="23">
        <v>24.747</v>
      </c>
      <c r="F40" s="23">
        <v>1</v>
      </c>
      <c r="G40" s="24">
        <f>107.32176*E40*F40</f>
        <v>2655.89159472</v>
      </c>
      <c r="H40" s="24">
        <f>2.7783*E40*F40</f>
        <v>68.7545901</v>
      </c>
      <c r="I40" s="24">
        <f t="shared" si="7"/>
        <v>0</v>
      </c>
      <c r="J40" s="24">
        <f>102.17031552*E40*F40</f>
        <v>2528.40879817344</v>
      </c>
      <c r="K40" s="24">
        <f>22.2883894296*E40*F40</f>
        <v>551.5707732143112</v>
      </c>
      <c r="L40" s="24">
        <f>21.464352*E40*F40</f>
        <v>531.178318944</v>
      </c>
      <c r="M40" s="150">
        <f t="shared" si="8"/>
        <v>6335.804075151751</v>
      </c>
      <c r="N40" s="151">
        <f t="shared" si="9"/>
        <v>527.9836729293125</v>
      </c>
      <c r="O40" s="151">
        <f t="shared" si="10"/>
        <v>0.058032938330326723</v>
      </c>
      <c r="P40" s="122" t="s">
        <v>258</v>
      </c>
    </row>
    <row r="41" spans="2:16" ht="13.5" thickBot="1">
      <c r="B41" s="89">
        <v>33</v>
      </c>
      <c r="C41" s="59" t="s">
        <v>56</v>
      </c>
      <c r="D41" s="22" t="s">
        <v>57</v>
      </c>
      <c r="E41" s="23">
        <v>0.503</v>
      </c>
      <c r="F41" s="23">
        <v>12</v>
      </c>
      <c r="G41" s="24">
        <f>231.6787203407*E41*F41</f>
        <v>1398.4127559764652</v>
      </c>
      <c r="H41" s="24">
        <f>20.828425672516*E41*F41</f>
        <v>125.72037735930658</v>
      </c>
      <c r="I41" s="24">
        <f t="shared" si="7"/>
        <v>0</v>
      </c>
      <c r="J41" s="24">
        <f>220.55814176435*E41*F41</f>
        <v>1331.2889436896166</v>
      </c>
      <c r="K41" s="24">
        <f>49.671855216645*E41*F41</f>
        <v>299.8193180876692</v>
      </c>
      <c r="L41" s="24">
        <f>46.335744068141*E41*F41</f>
        <v>279.6825511952991</v>
      </c>
      <c r="M41" s="92">
        <f t="shared" si="8"/>
        <v>3434.923946308357</v>
      </c>
      <c r="N41" s="72">
        <f t="shared" si="9"/>
        <v>286.24366219236305</v>
      </c>
      <c r="O41" s="56">
        <f t="shared" si="10"/>
        <v>0.0314622622765842</v>
      </c>
      <c r="P41" s="73" t="s">
        <v>208</v>
      </c>
    </row>
    <row r="42" spans="2:16" ht="12.75">
      <c r="B42" s="83">
        <v>34</v>
      </c>
      <c r="C42" s="59" t="s">
        <v>58</v>
      </c>
      <c r="D42" s="22" t="s">
        <v>59</v>
      </c>
      <c r="E42" s="23">
        <v>2.4323</v>
      </c>
      <c r="F42" s="23">
        <v>1</v>
      </c>
      <c r="G42" s="24">
        <f>233.3822396593*E42*F42</f>
        <v>567.6556215233154</v>
      </c>
      <c r="H42" s="24">
        <f>15.220283573488*E42*F42</f>
        <v>37.02029573579487</v>
      </c>
      <c r="I42" s="24">
        <f t="shared" si="7"/>
        <v>0</v>
      </c>
      <c r="J42" s="24">
        <f>222.17989215565*E42*F42</f>
        <v>540.4081516901875</v>
      </c>
      <c r="K42" s="24">
        <f>49.432153615786*E42*F42</f>
        <v>120.23382723967629</v>
      </c>
      <c r="L42" s="24">
        <f>46.676447931859*E42*F42</f>
        <v>113.53112430466065</v>
      </c>
      <c r="M42" s="92">
        <f t="shared" si="8"/>
        <v>1378.8490204936347</v>
      </c>
      <c r="N42" s="72">
        <f t="shared" si="9"/>
        <v>114.90408504113623</v>
      </c>
      <c r="O42" s="56">
        <f t="shared" si="10"/>
        <v>0.012629598267876041</v>
      </c>
      <c r="P42" s="122" t="s">
        <v>258</v>
      </c>
    </row>
    <row r="43" spans="2:16" ht="25.5" customHeight="1" thickBot="1">
      <c r="B43" s="89">
        <v>35</v>
      </c>
      <c r="C43" s="59" t="s">
        <v>60</v>
      </c>
      <c r="D43" s="22" t="s">
        <v>61</v>
      </c>
      <c r="E43" s="23">
        <v>1.7989</v>
      </c>
      <c r="F43" s="23">
        <v>1</v>
      </c>
      <c r="G43" s="24">
        <f>342.40752*E43*F43</f>
        <v>615.956887728</v>
      </c>
      <c r="H43" s="24">
        <f>29.762271482048*E43*F43</f>
        <v>53.53935016905614</v>
      </c>
      <c r="I43" s="24">
        <f t="shared" si="7"/>
        <v>0</v>
      </c>
      <c r="J43" s="24">
        <f>325.97195904*E43*F43</f>
        <v>586.390957117056</v>
      </c>
      <c r="K43" s="24">
        <f>73.304883804815*E43*F43</f>
        <v>131.86815547648172</v>
      </c>
      <c r="L43" s="24">
        <f>68.481504*E43*F43</f>
        <v>123.19137754559999</v>
      </c>
      <c r="M43" s="92">
        <f t="shared" si="8"/>
        <v>1510.9467280361937</v>
      </c>
      <c r="N43" s="72">
        <f t="shared" si="9"/>
        <v>125.91222733634947</v>
      </c>
      <c r="O43" s="56">
        <f t="shared" si="10"/>
        <v>0.013839550157875299</v>
      </c>
      <c r="P43" s="122" t="s">
        <v>258</v>
      </c>
    </row>
    <row r="44" spans="2:16" ht="13.5" customHeight="1">
      <c r="B44" s="83">
        <v>36</v>
      </c>
      <c r="C44" s="59" t="s">
        <v>62</v>
      </c>
      <c r="D44" s="22" t="s">
        <v>63</v>
      </c>
      <c r="E44" s="23">
        <v>13.844</v>
      </c>
      <c r="F44" s="23">
        <v>1</v>
      </c>
      <c r="G44" s="24">
        <f>39.180959659296*E44*F44</f>
        <v>542.4212055232938</v>
      </c>
      <c r="H44" s="24">
        <f>0.216751376128*E44*F44</f>
        <v>3.000706051116032</v>
      </c>
      <c r="I44" s="24">
        <f t="shared" si="7"/>
        <v>0</v>
      </c>
      <c r="J44" s="24">
        <f>37.30027359565*E44*F44</f>
        <v>516.3849876581785</v>
      </c>
      <c r="K44" s="24">
        <f>8.0532883862628*E44*F44</f>
        <v>111.48972441942219</v>
      </c>
      <c r="L44" s="24">
        <f>7.8361919318592*E44*F44</f>
        <v>108.48424110465876</v>
      </c>
      <c r="M44" s="92">
        <f t="shared" si="8"/>
        <v>1281.7808647566694</v>
      </c>
      <c r="N44" s="72">
        <f t="shared" si="9"/>
        <v>106.81507206305578</v>
      </c>
      <c r="O44" s="56">
        <f t="shared" si="10"/>
        <v>0.01174050033667353</v>
      </c>
      <c r="P44" s="122" t="s">
        <v>258</v>
      </c>
    </row>
    <row r="45" spans="2:16" ht="13.5" customHeight="1" thickBot="1">
      <c r="B45" s="89">
        <v>37</v>
      </c>
      <c r="C45" s="77" t="s">
        <v>238</v>
      </c>
      <c r="D45" s="41" t="s">
        <v>239</v>
      </c>
      <c r="E45" s="42">
        <v>0.2632</v>
      </c>
      <c r="F45" s="42">
        <v>1</v>
      </c>
      <c r="G45" s="43">
        <f>109.365984*E45*F45</f>
        <v>28.7851269888</v>
      </c>
      <c r="H45" s="43">
        <f>34.90858*E45*F45</f>
        <v>9.187938255999999</v>
      </c>
      <c r="I45" s="43">
        <f>0*E45*F45</f>
        <v>0</v>
      </c>
      <c r="J45" s="43">
        <f>104.116416768*E45*F45</f>
        <v>27.403440893337596</v>
      </c>
      <c r="K45" s="43">
        <f>26.08105298064*E45*F45</f>
        <v>6.864533144504447</v>
      </c>
      <c r="L45" s="43">
        <f>21.8731968*E45*F45</f>
        <v>5.75702539776</v>
      </c>
      <c r="M45" s="90">
        <f>SUM(G45:L45)</f>
        <v>77.99806468040204</v>
      </c>
      <c r="N45" s="72">
        <f>M45/12</f>
        <v>6.499838723366836</v>
      </c>
      <c r="O45" s="56">
        <f>N45/9098</f>
        <v>0.000714425008064062</v>
      </c>
      <c r="P45" s="122" t="s">
        <v>258</v>
      </c>
    </row>
    <row r="46" spans="2:16" s="45" customFormat="1" ht="12.75" customHeight="1">
      <c r="B46" s="83">
        <v>38</v>
      </c>
      <c r="C46" s="77" t="s">
        <v>197</v>
      </c>
      <c r="D46" s="41" t="s">
        <v>64</v>
      </c>
      <c r="E46" s="42">
        <v>0.5222</v>
      </c>
      <c r="F46" s="42">
        <v>1</v>
      </c>
      <c r="G46" s="43">
        <f>109.365984*E46*F46</f>
        <v>57.110916844799995</v>
      </c>
      <c r="H46" s="43">
        <f>34.90858*E46*F46</f>
        <v>18.229260476</v>
      </c>
      <c r="I46" s="43">
        <f t="shared" si="7"/>
        <v>0</v>
      </c>
      <c r="J46" s="43">
        <f>104.116416768*E46*F46</f>
        <v>54.369592836249595</v>
      </c>
      <c r="K46" s="43">
        <f>26.08105298064*E46*F46</f>
        <v>13.619525866490207</v>
      </c>
      <c r="L46" s="43">
        <f>21.8731968*E46*F46</f>
        <v>11.422183368959999</v>
      </c>
      <c r="M46" s="90">
        <f t="shared" si="8"/>
        <v>154.75147939249982</v>
      </c>
      <c r="N46" s="72">
        <f t="shared" si="9"/>
        <v>12.895956616041651</v>
      </c>
      <c r="O46" s="56">
        <f t="shared" si="10"/>
        <v>0.0014174496170632723</v>
      </c>
      <c r="P46" s="122" t="s">
        <v>258</v>
      </c>
    </row>
    <row r="47" spans="2:16" s="45" customFormat="1" ht="36.75" customHeight="1" thickBot="1">
      <c r="B47" s="89">
        <v>39</v>
      </c>
      <c r="C47" s="77" t="s">
        <v>198</v>
      </c>
      <c r="D47" s="41" t="s">
        <v>65</v>
      </c>
      <c r="E47" s="42">
        <v>0.3478</v>
      </c>
      <c r="F47" s="42">
        <v>1</v>
      </c>
      <c r="G47" s="43">
        <f>137.98512*E47*F47</f>
        <v>47.991224736</v>
      </c>
      <c r="H47" s="43">
        <f>34.90858*E47*F47</f>
        <v>12.141204124</v>
      </c>
      <c r="I47" s="43">
        <f t="shared" si="7"/>
        <v>0</v>
      </c>
      <c r="J47" s="43">
        <f>131.36183424*E47*F47</f>
        <v>45.687645948672</v>
      </c>
      <c r="K47" s="43">
        <f>31.9468310952*E47*F47</f>
        <v>11.11110785491056</v>
      </c>
      <c r="L47" s="43">
        <f>27.597024*E47*F47</f>
        <v>9.5982449472</v>
      </c>
      <c r="M47" s="90">
        <f t="shared" si="8"/>
        <v>126.52942761078255</v>
      </c>
      <c r="N47" s="72">
        <f t="shared" si="9"/>
        <v>10.544118967565213</v>
      </c>
      <c r="O47" s="56">
        <f t="shared" si="10"/>
        <v>0.0011589491061293924</v>
      </c>
      <c r="P47" s="122" t="s">
        <v>258</v>
      </c>
    </row>
    <row r="48" spans="2:16" s="45" customFormat="1" ht="12.75">
      <c r="B48" s="83">
        <v>40</v>
      </c>
      <c r="C48" s="77" t="s">
        <v>199</v>
      </c>
      <c r="D48" s="41" t="s">
        <v>66</v>
      </c>
      <c r="E48" s="42">
        <v>0.1344</v>
      </c>
      <c r="F48" s="42">
        <v>12</v>
      </c>
      <c r="G48" s="43">
        <f>186.024384*E48*F48</f>
        <v>300.0201265152</v>
      </c>
      <c r="H48" s="43">
        <f>34.90858*E48*F48</f>
        <v>56.300557824</v>
      </c>
      <c r="I48" s="43">
        <f t="shared" si="7"/>
        <v>0</v>
      </c>
      <c r="J48" s="43">
        <f>177.095213568*E48*F48</f>
        <v>285.6191604424704</v>
      </c>
      <c r="K48" s="43">
        <f>41.79295864464*E48*F48</f>
        <v>67.4036837020754</v>
      </c>
      <c r="L48" s="43">
        <f>37.2048768*E48*F48</f>
        <v>60.004025303039995</v>
      </c>
      <c r="M48" s="90">
        <f t="shared" si="8"/>
        <v>769.3475537867857</v>
      </c>
      <c r="N48" s="72">
        <f t="shared" si="9"/>
        <v>64.1122961488988</v>
      </c>
      <c r="O48" s="56">
        <f t="shared" si="10"/>
        <v>0.007046856028676501</v>
      </c>
      <c r="P48" s="73" t="s">
        <v>208</v>
      </c>
    </row>
    <row r="49" spans="2:16" s="45" customFormat="1" ht="26.25" thickBot="1">
      <c r="B49" s="89">
        <v>41</v>
      </c>
      <c r="C49" s="77" t="s">
        <v>200</v>
      </c>
      <c r="D49" s="41" t="s">
        <v>67</v>
      </c>
      <c r="E49" s="42">
        <v>0.2324</v>
      </c>
      <c r="F49" s="42">
        <v>1</v>
      </c>
      <c r="G49" s="43">
        <f>291.30192*E49*F49</f>
        <v>67.698566208</v>
      </c>
      <c r="H49" s="43">
        <f>34.90858*E49*F49</f>
        <v>8.112753992</v>
      </c>
      <c r="I49" s="43">
        <f t="shared" si="7"/>
        <v>0</v>
      </c>
      <c r="J49" s="43">
        <f>277.31942784*E49*F49</f>
        <v>64.449035030016</v>
      </c>
      <c r="K49" s="43">
        <f>63.3706424232*E49*F49</f>
        <v>14.72733729915168</v>
      </c>
      <c r="L49" s="43">
        <f>58.260384*E49*F49</f>
        <v>13.5397132416</v>
      </c>
      <c r="M49" s="90">
        <f t="shared" si="8"/>
        <v>168.52740577076767</v>
      </c>
      <c r="N49" s="72">
        <f t="shared" si="9"/>
        <v>14.043950480897307</v>
      </c>
      <c r="O49" s="56">
        <f t="shared" si="10"/>
        <v>0.0015436305210922519</v>
      </c>
      <c r="P49" s="122" t="s">
        <v>258</v>
      </c>
    </row>
    <row r="50" spans="2:16" ht="24.75" customHeight="1">
      <c r="B50" s="83">
        <v>42</v>
      </c>
      <c r="C50" s="59" t="s">
        <v>68</v>
      </c>
      <c r="D50" s="22" t="s">
        <v>69</v>
      </c>
      <c r="E50" s="23">
        <v>2.24</v>
      </c>
      <c r="F50" s="23">
        <v>72</v>
      </c>
      <c r="G50" s="24">
        <f>157.3474*E50*F50</f>
        <v>25376.988672000003</v>
      </c>
      <c r="H50" s="24">
        <f>3.24319534*E50*F50</f>
        <v>523.0625444352002</v>
      </c>
      <c r="I50" s="24">
        <f t="shared" si="7"/>
        <v>0</v>
      </c>
      <c r="J50" s="24">
        <f>149.7947248*E50*F50</f>
        <v>24158.893215744003</v>
      </c>
      <c r="K50" s="24">
        <f>32.5904586147*E50*F50</f>
        <v>5256.189165378816</v>
      </c>
      <c r="L50" s="24">
        <f>31.46948*E50*F50</f>
        <v>5075.3977344</v>
      </c>
      <c r="M50" s="92">
        <f t="shared" si="8"/>
        <v>60390.53133195803</v>
      </c>
      <c r="N50" s="72">
        <f t="shared" si="9"/>
        <v>5032.544277663169</v>
      </c>
      <c r="O50" s="56">
        <f t="shared" si="10"/>
        <v>0.5531484147794207</v>
      </c>
      <c r="P50" s="73" t="s">
        <v>211</v>
      </c>
    </row>
    <row r="51" spans="2:16" ht="24.75" thickBot="1">
      <c r="B51" s="89">
        <v>43</v>
      </c>
      <c r="C51" s="59" t="s">
        <v>70</v>
      </c>
      <c r="D51" s="22" t="s">
        <v>71</v>
      </c>
      <c r="E51" s="23">
        <v>0.009</v>
      </c>
      <c r="F51" s="23">
        <v>72</v>
      </c>
      <c r="G51" s="24">
        <f>109923.6474*E51*F51</f>
        <v>71230.5235152</v>
      </c>
      <c r="H51" s="24">
        <f>705.73914432*E51*F51</f>
        <v>457.31896551935995</v>
      </c>
      <c r="I51" s="24">
        <f t="shared" si="7"/>
        <v>0</v>
      </c>
      <c r="J51" s="24">
        <f>104647.3123248*E51*F51</f>
        <v>67811.45838647039</v>
      </c>
      <c r="K51" s="24">
        <f>22604.053381258*E51*F51</f>
        <v>14647.426591055182</v>
      </c>
      <c r="L51" s="24">
        <f>21984.72948*E51*F51</f>
        <v>14246.104703039999</v>
      </c>
      <c r="M51" s="92">
        <f t="shared" si="8"/>
        <v>168392.83216128492</v>
      </c>
      <c r="N51" s="72">
        <f t="shared" si="9"/>
        <v>14032.73601344041</v>
      </c>
      <c r="O51" s="56">
        <f t="shared" si="10"/>
        <v>1.542397891123369</v>
      </c>
      <c r="P51" s="122" t="s">
        <v>259</v>
      </c>
    </row>
    <row r="52" spans="2:16" ht="24">
      <c r="B52" s="83">
        <v>44</v>
      </c>
      <c r="C52" s="59" t="s">
        <v>72</v>
      </c>
      <c r="D52" s="22" t="s">
        <v>73</v>
      </c>
      <c r="E52" s="23">
        <v>8.59</v>
      </c>
      <c r="F52" s="23">
        <v>10</v>
      </c>
      <c r="G52" s="24">
        <f>109.54048*E52*F52</f>
        <v>9409.527232</v>
      </c>
      <c r="H52" s="24">
        <f>80.55545904*E52*F52</f>
        <v>6919.713931536</v>
      </c>
      <c r="I52" s="24">
        <f>40.692*E52*F52</f>
        <v>3495.4428000000003</v>
      </c>
      <c r="J52" s="24">
        <f>104.28253696*E52*F52</f>
        <v>8957.869924864</v>
      </c>
      <c r="K52" s="24">
        <f>35.18239998*E52*F52</f>
        <v>3022.1681582819997</v>
      </c>
      <c r="L52" s="24">
        <f>21.908096*E52*F52</f>
        <v>1881.9054464</v>
      </c>
      <c r="M52" s="92">
        <f t="shared" si="8"/>
        <v>33686.627493082</v>
      </c>
      <c r="N52" s="72">
        <f t="shared" si="9"/>
        <v>2807.2189577568333</v>
      </c>
      <c r="O52" s="56">
        <f t="shared" si="10"/>
        <v>0.30855341369057304</v>
      </c>
      <c r="P52" s="122" t="s">
        <v>256</v>
      </c>
    </row>
    <row r="53" spans="2:16" ht="14.25" customHeight="1" thickBot="1">
      <c r="B53" s="89">
        <v>45</v>
      </c>
      <c r="C53" s="59" t="s">
        <v>74</v>
      </c>
      <c r="D53" s="22" t="s">
        <v>75</v>
      </c>
      <c r="E53" s="23">
        <v>0.05</v>
      </c>
      <c r="F53" s="23">
        <v>240</v>
      </c>
      <c r="G53" s="24">
        <f>749.049*E53*F53</f>
        <v>8988.588</v>
      </c>
      <c r="H53" s="24">
        <f>4.8048567*E53*F53</f>
        <v>57.6582804</v>
      </c>
      <c r="I53" s="24">
        <f aca="true" t="shared" si="11" ref="I53:I58">0*E53*F53</f>
        <v>0</v>
      </c>
      <c r="J53" s="24">
        <f>713.094648*E53*F53</f>
        <v>8557.135776</v>
      </c>
      <c r="K53" s="24">
        <f>154.0295929935*E53*F53</f>
        <v>1848.355115922</v>
      </c>
      <c r="L53" s="24">
        <f>149.8098*E53*F53</f>
        <v>1797.7176000000002</v>
      </c>
      <c r="M53" s="92">
        <f t="shared" si="8"/>
        <v>21249.454772322</v>
      </c>
      <c r="N53" s="72">
        <f t="shared" si="9"/>
        <v>1770.7878976934999</v>
      </c>
      <c r="O53" s="56">
        <f t="shared" si="10"/>
        <v>0.1946348535605078</v>
      </c>
      <c r="P53" s="122" t="s">
        <v>251</v>
      </c>
    </row>
    <row r="54" spans="2:16" ht="24">
      <c r="B54" s="83">
        <v>46</v>
      </c>
      <c r="C54" s="59" t="s">
        <v>76</v>
      </c>
      <c r="D54" s="22" t="s">
        <v>77</v>
      </c>
      <c r="E54" s="23">
        <v>0.83</v>
      </c>
      <c r="F54" s="23">
        <v>120</v>
      </c>
      <c r="G54" s="24">
        <f>204.4574*E54*F54</f>
        <v>20363.95704</v>
      </c>
      <c r="H54" s="24">
        <f>4.70463112*E54*F54</f>
        <v>468.581259552</v>
      </c>
      <c r="I54" s="24">
        <f t="shared" si="11"/>
        <v>0</v>
      </c>
      <c r="J54" s="24">
        <f>194.6434448*E54*F54</f>
        <v>19386.48710208</v>
      </c>
      <c r="K54" s="24">
        <f>42.3995749716*E54*F54</f>
        <v>4222.99766717136</v>
      </c>
      <c r="L54" s="24">
        <f>40.89148*E54*F54</f>
        <v>4072.791408</v>
      </c>
      <c r="M54" s="92">
        <f t="shared" si="8"/>
        <v>48514.81447680335</v>
      </c>
      <c r="N54" s="72">
        <f t="shared" si="9"/>
        <v>4042.9012064002795</v>
      </c>
      <c r="O54" s="56">
        <f t="shared" si="10"/>
        <v>0.4443725221367641</v>
      </c>
      <c r="P54" s="122" t="s">
        <v>252</v>
      </c>
    </row>
    <row r="55" spans="2:16" ht="30" customHeight="1" thickBot="1">
      <c r="B55" s="89">
        <v>47</v>
      </c>
      <c r="C55" s="59" t="s">
        <v>78</v>
      </c>
      <c r="D55" s="22" t="s">
        <v>79</v>
      </c>
      <c r="E55" s="23">
        <v>0.098</v>
      </c>
      <c r="F55" s="23">
        <v>72</v>
      </c>
      <c r="G55" s="24">
        <f>2512.8474*E55*F55</f>
        <v>17730.651254400003</v>
      </c>
      <c r="H55" s="24">
        <f>59.482472*E55*F55</f>
        <v>419.708322432</v>
      </c>
      <c r="I55" s="24">
        <f t="shared" si="11"/>
        <v>0</v>
      </c>
      <c r="J55" s="24">
        <f>2392.2307248*E55*F55</f>
        <v>16879.579994188804</v>
      </c>
      <c r="K55" s="24">
        <f>521.278862664*E55*F55</f>
        <v>3678.143654957184</v>
      </c>
      <c r="L55" s="24">
        <f>502.56948*E55*F55</f>
        <v>3546.1302508800004</v>
      </c>
      <c r="M55" s="92">
        <f t="shared" si="8"/>
        <v>42254.213476857985</v>
      </c>
      <c r="N55" s="72">
        <f t="shared" si="9"/>
        <v>3521.184456404832</v>
      </c>
      <c r="O55" s="56">
        <f t="shared" si="10"/>
        <v>0.38702840804625543</v>
      </c>
      <c r="P55" s="73" t="s">
        <v>229</v>
      </c>
    </row>
    <row r="56" spans="2:16" ht="36">
      <c r="B56" s="83">
        <v>48</v>
      </c>
      <c r="C56" s="59" t="s">
        <v>80</v>
      </c>
      <c r="D56" s="22" t="s">
        <v>79</v>
      </c>
      <c r="E56" s="23">
        <v>0.098</v>
      </c>
      <c r="F56" s="23">
        <v>25</v>
      </c>
      <c r="G56" s="24">
        <f>11149.0526*E56*F56</f>
        <v>27315.178870000007</v>
      </c>
      <c r="H56" s="24">
        <f>317.58272*E56*F56</f>
        <v>778.077664</v>
      </c>
      <c r="I56" s="24">
        <f t="shared" si="11"/>
        <v>0</v>
      </c>
      <c r="J56" s="24">
        <f>10613.8980752*E56*F56</f>
        <v>26004.050284240002</v>
      </c>
      <c r="K56" s="24">
        <f>2318.456006496*E56*F56</f>
        <v>5680.2172159152005</v>
      </c>
      <c r="L56" s="24">
        <f>2229.81052*E56*F56</f>
        <v>5463.035774</v>
      </c>
      <c r="M56" s="92">
        <f t="shared" si="8"/>
        <v>65240.559808155216</v>
      </c>
      <c r="N56" s="72">
        <f t="shared" si="9"/>
        <v>5436.713317346268</v>
      </c>
      <c r="O56" s="56">
        <f t="shared" si="10"/>
        <v>0.5975723584684841</v>
      </c>
      <c r="P56" s="122" t="s">
        <v>255</v>
      </c>
    </row>
    <row r="57" spans="2:16" ht="36.75" thickBot="1">
      <c r="B57" s="89">
        <v>49</v>
      </c>
      <c r="C57" s="59" t="s">
        <v>81</v>
      </c>
      <c r="D57" s="22" t="s">
        <v>82</v>
      </c>
      <c r="E57" s="23">
        <v>9.15</v>
      </c>
      <c r="F57" s="23">
        <v>20</v>
      </c>
      <c r="G57" s="24">
        <f>23.555*E57*F57</f>
        <v>4310.5650000000005</v>
      </c>
      <c r="H57" s="24">
        <f>559.498611*E57*F57</f>
        <v>102388.24581299999</v>
      </c>
      <c r="I57" s="24">
        <f t="shared" si="11"/>
        <v>0</v>
      </c>
      <c r="J57" s="24">
        <f>22.42436*E57*F57</f>
        <v>4103.65788</v>
      </c>
      <c r="K57" s="24">
        <f>63.575186955*E57*F57</f>
        <v>11634.259212765</v>
      </c>
      <c r="L57" s="24">
        <f>4.711*E57*F57</f>
        <v>862.113</v>
      </c>
      <c r="M57" s="92">
        <f t="shared" si="8"/>
        <v>123298.84090576498</v>
      </c>
      <c r="N57" s="72">
        <f t="shared" si="9"/>
        <v>10274.903408813749</v>
      </c>
      <c r="O57" s="56">
        <f t="shared" si="10"/>
        <v>1.1293584753587325</v>
      </c>
      <c r="P57" s="122" t="s">
        <v>250</v>
      </c>
    </row>
    <row r="58" spans="2:16" ht="23.25" customHeight="1">
      <c r="B58" s="83">
        <v>50</v>
      </c>
      <c r="C58" s="59" t="s">
        <v>83</v>
      </c>
      <c r="D58" s="22" t="s">
        <v>84</v>
      </c>
      <c r="E58" s="23">
        <v>6</v>
      </c>
      <c r="F58" s="23">
        <v>2</v>
      </c>
      <c r="G58" s="24">
        <f>99.8732*E58*F58</f>
        <v>1198.4784</v>
      </c>
      <c r="H58" s="24">
        <f>152.2822*E58*F58</f>
        <v>1827.3863999999999</v>
      </c>
      <c r="I58" s="24">
        <f t="shared" si="11"/>
        <v>0</v>
      </c>
      <c r="J58" s="24">
        <f>95.0792864*E58*F58</f>
        <v>1140.9514368</v>
      </c>
      <c r="K58" s="24">
        <f>36.459642072*E58*F58</f>
        <v>437.515704864</v>
      </c>
      <c r="L58" s="24">
        <f>19.97464*E58*F58</f>
        <v>239.69568</v>
      </c>
      <c r="M58" s="92">
        <f t="shared" si="8"/>
        <v>4844.0276216639995</v>
      </c>
      <c r="N58" s="72">
        <f t="shared" si="9"/>
        <v>403.66896847199996</v>
      </c>
      <c r="O58" s="56">
        <f t="shared" si="10"/>
        <v>0.044368978728511754</v>
      </c>
      <c r="P58" s="122" t="s">
        <v>254</v>
      </c>
    </row>
    <row r="59" spans="2:16" ht="46.5" customHeight="1" thickBot="1">
      <c r="B59" s="89">
        <v>51</v>
      </c>
      <c r="C59" s="59" t="s">
        <v>85</v>
      </c>
      <c r="D59" s="22" t="s">
        <v>86</v>
      </c>
      <c r="E59" s="23">
        <v>1.26</v>
      </c>
      <c r="F59" s="23">
        <v>8</v>
      </c>
      <c r="G59" s="24">
        <f>0*E59*F59</f>
        <v>0</v>
      </c>
      <c r="H59" s="24">
        <f>0*E59*F59</f>
        <v>0</v>
      </c>
      <c r="I59" s="24">
        <f>47.0404*E59*F59</f>
        <v>474.167232</v>
      </c>
      <c r="J59" s="24">
        <f>15.918110208*E59*F59</f>
        <v>160.45455089664</v>
      </c>
      <c r="K59" s="24">
        <f>6.61064357184*E59*F59</f>
        <v>66.6352872041472</v>
      </c>
      <c r="L59" s="24">
        <f>3.3441408*E59*F59</f>
        <v>33.708939264</v>
      </c>
      <c r="M59" s="92">
        <f t="shared" si="8"/>
        <v>734.9660093647873</v>
      </c>
      <c r="N59" s="72">
        <f t="shared" si="9"/>
        <v>61.24716744706561</v>
      </c>
      <c r="O59" s="56">
        <f t="shared" si="10"/>
        <v>0.006731937507921038</v>
      </c>
      <c r="P59" s="122" t="s">
        <v>253</v>
      </c>
    </row>
    <row r="60" spans="2:16" ht="24.75" customHeight="1">
      <c r="B60" s="83">
        <v>52</v>
      </c>
      <c r="C60" s="59" t="s">
        <v>87</v>
      </c>
      <c r="D60" s="22" t="s">
        <v>88</v>
      </c>
      <c r="E60" s="23">
        <v>0.6</v>
      </c>
      <c r="F60" s="23">
        <v>240</v>
      </c>
      <c r="G60" s="24">
        <f>130.0236*E60*F60</f>
        <v>18723.3984</v>
      </c>
      <c r="H60" s="24">
        <f>0.59482472*E60*F60</f>
        <v>85.65475968</v>
      </c>
      <c r="I60" s="24">
        <f>0*E60*F60</f>
        <v>0</v>
      </c>
      <c r="J60" s="24">
        <f>123.7824672*E60*F60</f>
        <v>17824.6752768</v>
      </c>
      <c r="K60" s="24">
        <f>26.7120936516*E60*F60</f>
        <v>3846.5414858304</v>
      </c>
      <c r="L60" s="24">
        <f>26.00472*E60*F60</f>
        <v>3744.6796799999997</v>
      </c>
      <c r="M60" s="92">
        <f t="shared" si="8"/>
        <v>44224.9496023104</v>
      </c>
      <c r="N60" s="72">
        <f t="shared" si="9"/>
        <v>3685.4124668592</v>
      </c>
      <c r="O60" s="56">
        <f t="shared" si="10"/>
        <v>0.4050794094151682</v>
      </c>
      <c r="P60" s="122" t="s">
        <v>251</v>
      </c>
    </row>
    <row r="61" spans="2:16" ht="25.5" customHeight="1" thickBot="1">
      <c r="B61" s="89">
        <v>53</v>
      </c>
      <c r="C61" s="59" t="s">
        <v>89</v>
      </c>
      <c r="D61" s="22" t="s">
        <v>88</v>
      </c>
      <c r="E61" s="23">
        <v>0.6</v>
      </c>
      <c r="F61" s="23">
        <v>240</v>
      </c>
      <c r="G61" s="24">
        <f>24.0261*E61*F61</f>
        <v>3459.7583999999997</v>
      </c>
      <c r="H61" s="24">
        <f>0.292287156*E61*F61</f>
        <v>42.08935046399999</v>
      </c>
      <c r="I61" s="24">
        <f>0*E61*F61</f>
        <v>0</v>
      </c>
      <c r="J61" s="24">
        <f>22.8728472*E61*F61</f>
        <v>3293.6899968</v>
      </c>
      <c r="K61" s="24">
        <f>4.95507960738*E61*F61</f>
        <v>713.5314634627199</v>
      </c>
      <c r="L61" s="24">
        <f>4.80522*E61*F61</f>
        <v>691.95168</v>
      </c>
      <c r="M61" s="92">
        <f t="shared" si="8"/>
        <v>8201.020890726719</v>
      </c>
      <c r="N61" s="72">
        <f t="shared" si="9"/>
        <v>683.4184075605599</v>
      </c>
      <c r="O61" s="56">
        <f t="shared" si="10"/>
        <v>0.07511743323373928</v>
      </c>
      <c r="P61" s="122" t="s">
        <v>251</v>
      </c>
    </row>
    <row r="62" spans="2:16" ht="24">
      <c r="B62" s="83">
        <v>54</v>
      </c>
      <c r="C62" s="59" t="s">
        <v>90</v>
      </c>
      <c r="D62" s="22" t="s">
        <v>88</v>
      </c>
      <c r="E62" s="23">
        <v>0.08</v>
      </c>
      <c r="F62" s="23">
        <v>72</v>
      </c>
      <c r="G62" s="24">
        <f>565.32*E62*F62</f>
        <v>3256.2432000000003</v>
      </c>
      <c r="H62" s="24">
        <f>1.31878796*E62*F62</f>
        <v>7.596218649600001</v>
      </c>
      <c r="I62" s="24">
        <f>0*E62*F62</f>
        <v>0</v>
      </c>
      <c r="J62" s="24">
        <f>538.18464*E62*F62</f>
        <v>3099.9435264</v>
      </c>
      <c r="K62" s="24">
        <f>116.0064599358*E62*F62</f>
        <v>668.1972092302079</v>
      </c>
      <c r="L62" s="24">
        <f>113.064*E62*F62</f>
        <v>651.2486399999999</v>
      </c>
      <c r="M62" s="92">
        <f t="shared" si="8"/>
        <v>7683.2287942798075</v>
      </c>
      <c r="N62" s="72">
        <f t="shared" si="9"/>
        <v>640.269066189984</v>
      </c>
      <c r="O62" s="56">
        <f t="shared" si="10"/>
        <v>0.07037470501098966</v>
      </c>
      <c r="P62" s="73" t="s">
        <v>231</v>
      </c>
    </row>
    <row r="63" spans="2:16" ht="24.75" thickBot="1">
      <c r="B63" s="89">
        <v>55</v>
      </c>
      <c r="C63" s="59" t="s">
        <v>91</v>
      </c>
      <c r="D63" s="22" t="s">
        <v>73</v>
      </c>
      <c r="E63" s="23">
        <v>0.08</v>
      </c>
      <c r="F63" s="23">
        <v>72</v>
      </c>
      <c r="G63" s="24">
        <f>228.9546*E63*F63</f>
        <v>1318.7784960000001</v>
      </c>
      <c r="H63" s="24">
        <f>1.28129512*E63*F63</f>
        <v>7.380259891200001</v>
      </c>
      <c r="I63" s="24">
        <f>0*E63*F63</f>
        <v>0</v>
      </c>
      <c r="J63" s="24">
        <f>217.9647792*E63*F63</f>
        <v>1255.4771281920002</v>
      </c>
      <c r="K63" s="24">
        <f>47.0610708036*E63*F63</f>
        <v>271.07176782873603</v>
      </c>
      <c r="L63" s="24">
        <f>45.79092*E63*F63</f>
        <v>263.7556992</v>
      </c>
      <c r="M63" s="92">
        <f t="shared" si="8"/>
        <v>3116.4633511119364</v>
      </c>
      <c r="N63" s="72">
        <f t="shared" si="9"/>
        <v>259.70527925932805</v>
      </c>
      <c r="O63" s="56">
        <f t="shared" si="10"/>
        <v>0.028545315372535508</v>
      </c>
      <c r="P63" s="73" t="s">
        <v>232</v>
      </c>
    </row>
    <row r="64" spans="2:16" ht="13.5" thickBot="1">
      <c r="B64" s="83">
        <v>56</v>
      </c>
      <c r="C64" s="94" t="s">
        <v>92</v>
      </c>
      <c r="D64" s="95" t="s">
        <v>93</v>
      </c>
      <c r="E64" s="96">
        <v>0.08</v>
      </c>
      <c r="F64" s="96">
        <v>12</v>
      </c>
      <c r="G64" s="97">
        <f>7349.16*E64*F64</f>
        <v>7055.1936000000005</v>
      </c>
      <c r="H64" s="97">
        <f>5458.026839748*E64*F64</f>
        <v>5239.70576615808</v>
      </c>
      <c r="I64" s="97">
        <f>0*E64*F64</f>
        <v>0</v>
      </c>
      <c r="J64" s="97">
        <f>6996.40032*E64*F64</f>
        <v>6716.5443072</v>
      </c>
      <c r="K64" s="97">
        <f>2079.3766517735*E64*F64</f>
        <v>1996.20158570256</v>
      </c>
      <c r="L64" s="97">
        <f>1469.832*E64*F64</f>
        <v>1411.03872</v>
      </c>
      <c r="M64" s="98">
        <f t="shared" si="8"/>
        <v>22418.683979060643</v>
      </c>
      <c r="N64" s="74">
        <f t="shared" si="9"/>
        <v>1868.2236649217202</v>
      </c>
      <c r="O64" s="75">
        <f t="shared" si="10"/>
        <v>0.20534443448249287</v>
      </c>
      <c r="P64" s="76" t="s">
        <v>208</v>
      </c>
    </row>
    <row r="65" spans="2:16" ht="13.5" thickBot="1">
      <c r="B65" s="168" t="s">
        <v>48</v>
      </c>
      <c r="C65" s="169"/>
      <c r="D65" s="169"/>
      <c r="E65" s="169"/>
      <c r="F65" s="170"/>
      <c r="G65" s="79">
        <f aca="true" t="shared" si="12" ref="G65:M65">SUM(G36:G64)</f>
        <v>380033.7902268376</v>
      </c>
      <c r="H65" s="80">
        <f t="shared" si="12"/>
        <v>123761.33339491577</v>
      </c>
      <c r="I65" s="80">
        <f t="shared" si="12"/>
        <v>3969.6100320000005</v>
      </c>
      <c r="J65" s="80">
        <f t="shared" si="12"/>
        <v>361952.62284684594</v>
      </c>
      <c r="K65" s="80">
        <f t="shared" si="12"/>
        <v>91320.32243256312</v>
      </c>
      <c r="L65" s="81">
        <f t="shared" si="12"/>
        <v>76040.46698463151</v>
      </c>
      <c r="M65" s="82">
        <f t="shared" si="12"/>
        <v>1037078.1459177939</v>
      </c>
      <c r="N65" s="67">
        <f>SUM(N36:N64)</f>
        <v>86423.17882648284</v>
      </c>
      <c r="O65" s="67">
        <f>SUM(O36:O64)</f>
        <v>9.499140341446783</v>
      </c>
      <c r="P65" s="68"/>
    </row>
    <row r="66" spans="2:16" ht="15.75" customHeight="1" thickBot="1">
      <c r="B66" s="165" t="s">
        <v>175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7"/>
    </row>
    <row r="67" spans="2:16" ht="29.25" customHeight="1">
      <c r="B67" s="115">
        <v>57</v>
      </c>
      <c r="C67" s="85" t="s">
        <v>189</v>
      </c>
      <c r="D67" s="85"/>
      <c r="E67" s="85"/>
      <c r="F67" s="86">
        <v>365</v>
      </c>
      <c r="G67" s="116"/>
      <c r="H67" s="116"/>
      <c r="I67" s="116"/>
      <c r="J67" s="116"/>
      <c r="K67" s="116"/>
      <c r="L67" s="116"/>
      <c r="M67" s="88">
        <f aca="true" t="shared" si="13" ref="M67:M75">N67*12</f>
        <v>251213.97600000002</v>
      </c>
      <c r="N67" s="99">
        <f>O67*9098</f>
        <v>20934.498000000003</v>
      </c>
      <c r="O67" s="100">
        <v>2.301</v>
      </c>
      <c r="P67" s="71" t="s">
        <v>215</v>
      </c>
    </row>
    <row r="68" spans="2:16" ht="12" customHeight="1" thickBot="1">
      <c r="B68" s="117">
        <v>58</v>
      </c>
      <c r="C68" s="22" t="s">
        <v>190</v>
      </c>
      <c r="D68" s="22"/>
      <c r="E68" s="22"/>
      <c r="F68" s="23">
        <v>1</v>
      </c>
      <c r="G68" s="25"/>
      <c r="H68" s="25"/>
      <c r="I68" s="25"/>
      <c r="J68" s="25"/>
      <c r="K68" s="25"/>
      <c r="L68" s="25"/>
      <c r="M68" s="92">
        <f>N68*12</f>
        <v>144112.32</v>
      </c>
      <c r="N68" s="101">
        <f>O68*9098</f>
        <v>12009.36</v>
      </c>
      <c r="O68" s="57">
        <v>1.32</v>
      </c>
      <c r="P68" s="73" t="s">
        <v>216</v>
      </c>
    </row>
    <row r="69" spans="2:16" ht="24">
      <c r="B69" s="115">
        <v>59</v>
      </c>
      <c r="C69" s="22" t="s">
        <v>176</v>
      </c>
      <c r="D69" s="22"/>
      <c r="E69" s="22"/>
      <c r="F69" s="23">
        <v>365</v>
      </c>
      <c r="G69" s="25"/>
      <c r="H69" s="25"/>
      <c r="I69" s="25"/>
      <c r="J69" s="25"/>
      <c r="K69" s="25"/>
      <c r="L69" s="25"/>
      <c r="M69" s="92">
        <f t="shared" si="13"/>
        <v>270756.48</v>
      </c>
      <c r="N69" s="101">
        <f aca="true" t="shared" si="14" ref="N69:N75">O69*9098</f>
        <v>22563.04</v>
      </c>
      <c r="O69" s="57">
        <v>2.48</v>
      </c>
      <c r="P69" s="73" t="s">
        <v>217</v>
      </c>
    </row>
    <row r="70" spans="2:16" ht="13.5" thickBot="1">
      <c r="B70" s="117">
        <v>60</v>
      </c>
      <c r="C70" s="22" t="s">
        <v>177</v>
      </c>
      <c r="D70" s="22"/>
      <c r="E70" s="22"/>
      <c r="F70" s="23">
        <v>12</v>
      </c>
      <c r="G70" s="25"/>
      <c r="H70" s="25"/>
      <c r="I70" s="25"/>
      <c r="J70" s="25"/>
      <c r="K70" s="25"/>
      <c r="L70" s="25"/>
      <c r="M70" s="92">
        <f t="shared" si="13"/>
        <v>43670.4</v>
      </c>
      <c r="N70" s="101">
        <f>O70*9098</f>
        <v>3639.2000000000003</v>
      </c>
      <c r="O70" s="57">
        <v>0.4</v>
      </c>
      <c r="P70" s="73" t="s">
        <v>208</v>
      </c>
    </row>
    <row r="71" spans="2:16" s="45" customFormat="1" ht="12.75">
      <c r="B71" s="115">
        <v>61</v>
      </c>
      <c r="C71" s="41" t="s">
        <v>178</v>
      </c>
      <c r="D71" s="41"/>
      <c r="E71" s="41"/>
      <c r="F71" s="42">
        <v>12</v>
      </c>
      <c r="G71" s="44"/>
      <c r="H71" s="44"/>
      <c r="I71" s="44"/>
      <c r="J71" s="44"/>
      <c r="K71" s="44"/>
      <c r="L71" s="44"/>
      <c r="M71" s="90">
        <f>4000*12</f>
        <v>48000</v>
      </c>
      <c r="N71" s="101">
        <f>M71/12</f>
        <v>4000</v>
      </c>
      <c r="O71" s="57">
        <f>N71/9098</f>
        <v>0.43965706748735983</v>
      </c>
      <c r="P71" s="73" t="s">
        <v>226</v>
      </c>
    </row>
    <row r="72" spans="2:16" s="45" customFormat="1" ht="13.5" thickBot="1">
      <c r="B72" s="117">
        <v>62</v>
      </c>
      <c r="C72" s="41" t="s">
        <v>248</v>
      </c>
      <c r="D72" s="46"/>
      <c r="E72" s="46"/>
      <c r="F72" s="55">
        <v>12</v>
      </c>
      <c r="G72" s="47"/>
      <c r="H72" s="47"/>
      <c r="I72" s="47"/>
      <c r="J72" s="47"/>
      <c r="K72" s="47"/>
      <c r="L72" s="47"/>
      <c r="M72" s="118">
        <f t="shared" si="13"/>
        <v>38211.6</v>
      </c>
      <c r="N72" s="101">
        <f t="shared" si="14"/>
        <v>3184.2999999999997</v>
      </c>
      <c r="O72" s="58">
        <v>0.35</v>
      </c>
      <c r="P72" s="73" t="s">
        <v>226</v>
      </c>
    </row>
    <row r="73" spans="2:16" s="45" customFormat="1" ht="12.75">
      <c r="B73" s="115">
        <v>63</v>
      </c>
      <c r="C73" s="41" t="s">
        <v>191</v>
      </c>
      <c r="D73" s="46"/>
      <c r="E73" s="46"/>
      <c r="F73" s="46"/>
      <c r="G73" s="47"/>
      <c r="H73" s="47"/>
      <c r="I73" s="47"/>
      <c r="J73" s="47"/>
      <c r="K73" s="47"/>
      <c r="L73" s="47"/>
      <c r="M73" s="118">
        <f t="shared" si="13"/>
        <v>70964.4</v>
      </c>
      <c r="N73" s="101">
        <f t="shared" si="14"/>
        <v>5913.7</v>
      </c>
      <c r="O73" s="58">
        <v>0.65</v>
      </c>
      <c r="P73" s="73" t="s">
        <v>226</v>
      </c>
    </row>
    <row r="74" spans="2:16" s="45" customFormat="1" ht="36.75" thickBot="1">
      <c r="B74" s="117">
        <v>64</v>
      </c>
      <c r="C74" s="41" t="s">
        <v>227</v>
      </c>
      <c r="D74" s="46"/>
      <c r="E74" s="46"/>
      <c r="F74" s="55"/>
      <c r="G74" s="47"/>
      <c r="H74" s="47"/>
      <c r="I74" s="47"/>
      <c r="J74" s="47"/>
      <c r="K74" s="47"/>
      <c r="L74" s="47"/>
      <c r="M74" s="118">
        <f>N74*12</f>
        <v>6550.5599999999995</v>
      </c>
      <c r="N74" s="101">
        <f>O74*9098</f>
        <v>545.88</v>
      </c>
      <c r="O74" s="58">
        <v>0.06</v>
      </c>
      <c r="P74" s="102" t="s">
        <v>228</v>
      </c>
    </row>
    <row r="75" spans="2:16" s="45" customFormat="1" ht="30.75" customHeight="1" thickBot="1">
      <c r="B75" s="115">
        <v>65</v>
      </c>
      <c r="C75" s="119" t="s">
        <v>179</v>
      </c>
      <c r="D75" s="119"/>
      <c r="E75" s="119"/>
      <c r="F75" s="119"/>
      <c r="G75" s="120"/>
      <c r="H75" s="120"/>
      <c r="I75" s="120"/>
      <c r="J75" s="120"/>
      <c r="K75" s="120"/>
      <c r="L75" s="120"/>
      <c r="M75" s="121">
        <f t="shared" si="13"/>
        <v>6550.5599999999995</v>
      </c>
      <c r="N75" s="103">
        <f t="shared" si="14"/>
        <v>545.88</v>
      </c>
      <c r="O75" s="104">
        <v>0.06</v>
      </c>
      <c r="P75" s="76" t="s">
        <v>207</v>
      </c>
    </row>
    <row r="76" spans="2:16" s="45" customFormat="1" ht="13.5" customHeight="1" thickBot="1">
      <c r="B76" s="173" t="s">
        <v>48</v>
      </c>
      <c r="C76" s="174"/>
      <c r="D76" s="110"/>
      <c r="E76" s="110"/>
      <c r="F76" s="110"/>
      <c r="G76" s="111">
        <f aca="true" t="shared" si="15" ref="G76:L76">SUM(G67:G71)</f>
        <v>0</v>
      </c>
      <c r="H76" s="112">
        <f t="shared" si="15"/>
        <v>0</v>
      </c>
      <c r="I76" s="112">
        <f t="shared" si="15"/>
        <v>0</v>
      </c>
      <c r="J76" s="112">
        <f t="shared" si="15"/>
        <v>0</v>
      </c>
      <c r="K76" s="112">
        <f t="shared" si="15"/>
        <v>0</v>
      </c>
      <c r="L76" s="113">
        <f t="shared" si="15"/>
        <v>0</v>
      </c>
      <c r="M76" s="114">
        <f>SUM(M67:M75)</f>
        <v>880030.2960000002</v>
      </c>
      <c r="N76" s="67">
        <f>SUM(N67:N75)</f>
        <v>73335.85800000001</v>
      </c>
      <c r="O76" s="67">
        <f>SUM(O67:O75)</f>
        <v>8.060657067487362</v>
      </c>
      <c r="P76" s="68"/>
    </row>
    <row r="77" spans="2:16" ht="16.5" customHeight="1" thickBot="1" thickTop="1">
      <c r="B77" s="175" t="s">
        <v>94</v>
      </c>
      <c r="C77" s="176"/>
      <c r="D77" s="108"/>
      <c r="E77" s="108"/>
      <c r="F77" s="109"/>
      <c r="G77" s="26">
        <f aca="true" t="shared" si="16" ref="G77:O77">G34+G65+G76</f>
        <v>531130.8292452547</v>
      </c>
      <c r="H77" s="26">
        <f t="shared" si="16"/>
        <v>152245.22385536777</v>
      </c>
      <c r="I77" s="26">
        <f t="shared" si="16"/>
        <v>3969.6100320000005</v>
      </c>
      <c r="J77" s="26">
        <f t="shared" si="16"/>
        <v>505797.00399237906</v>
      </c>
      <c r="K77" s="26">
        <f t="shared" si="16"/>
        <v>125279.98004812535</v>
      </c>
      <c r="L77" s="26">
        <f t="shared" si="16"/>
        <v>106259.87478831493</v>
      </c>
      <c r="M77" s="107">
        <f t="shared" si="16"/>
        <v>2304712.817961442</v>
      </c>
      <c r="N77" s="106">
        <f t="shared" si="16"/>
        <v>192059.40149678683</v>
      </c>
      <c r="O77" s="105">
        <f t="shared" si="16"/>
        <v>21.11006831136369</v>
      </c>
      <c r="P77" s="68"/>
    </row>
    <row r="78" spans="2:16" ht="18.75" customHeight="1" thickTop="1">
      <c r="B78" s="27"/>
      <c r="C78" s="177" t="s">
        <v>233</v>
      </c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8"/>
    </row>
    <row r="79" spans="2:16" ht="18" customHeight="1">
      <c r="B79" s="179" t="s">
        <v>202</v>
      </c>
      <c r="C79" s="180"/>
      <c r="D79" s="22"/>
      <c r="E79" s="22"/>
      <c r="F79" s="22"/>
      <c r="G79" s="25"/>
      <c r="H79" s="25"/>
      <c r="I79" s="25"/>
      <c r="J79" s="25"/>
      <c r="K79" s="25"/>
      <c r="L79" s="25"/>
      <c r="M79" s="24"/>
      <c r="N79" s="48">
        <v>30</v>
      </c>
      <c r="O79" s="57"/>
      <c r="P79" s="181" t="s">
        <v>235</v>
      </c>
    </row>
    <row r="80" spans="2:16" ht="15.75" customHeight="1">
      <c r="B80" s="179" t="s">
        <v>201</v>
      </c>
      <c r="C80" s="180"/>
      <c r="D80" s="22"/>
      <c r="E80" s="22"/>
      <c r="F80" s="22"/>
      <c r="G80" s="25"/>
      <c r="H80" s="25"/>
      <c r="I80" s="25"/>
      <c r="J80" s="25"/>
      <c r="K80" s="25"/>
      <c r="L80" s="25"/>
      <c r="M80" s="24"/>
      <c r="N80" s="48">
        <v>30</v>
      </c>
      <c r="O80" s="57"/>
      <c r="P80" s="182"/>
    </row>
    <row r="81" spans="2:16" ht="12.75" customHeight="1">
      <c r="B81" s="179" t="s">
        <v>234</v>
      </c>
      <c r="C81" s="184"/>
      <c r="D81" s="180"/>
      <c r="E81" s="22"/>
      <c r="F81" s="22"/>
      <c r="G81" s="25"/>
      <c r="H81" s="25"/>
      <c r="I81" s="25"/>
      <c r="J81" s="25"/>
      <c r="K81" s="25"/>
      <c r="L81" s="25"/>
      <c r="M81" s="24"/>
      <c r="N81" s="48">
        <v>15</v>
      </c>
      <c r="O81" s="57"/>
      <c r="P81" s="183"/>
    </row>
    <row r="82" spans="2:15" ht="12.75">
      <c r="B82" s="49"/>
      <c r="C82" s="50"/>
      <c r="D82" s="50"/>
      <c r="E82" s="50"/>
      <c r="F82" s="50"/>
      <c r="G82" s="51"/>
      <c r="H82" s="51"/>
      <c r="I82" s="51"/>
      <c r="J82" s="51"/>
      <c r="K82" s="51"/>
      <c r="L82" s="51"/>
      <c r="M82" s="52"/>
      <c r="N82" s="54"/>
      <c r="O82" s="53"/>
    </row>
    <row r="83" spans="2:15" ht="12.75">
      <c r="B83" s="49"/>
      <c r="C83" s="50"/>
      <c r="D83" s="50"/>
      <c r="E83" s="50"/>
      <c r="F83" s="50"/>
      <c r="G83" s="51"/>
      <c r="H83" s="51"/>
      <c r="I83" s="51"/>
      <c r="J83" s="51"/>
      <c r="K83" s="51"/>
      <c r="L83" s="51"/>
      <c r="M83" s="52"/>
      <c r="N83" s="54"/>
      <c r="O83" s="53"/>
    </row>
    <row r="84" spans="3:13" ht="23.25" customHeight="1">
      <c r="C84" s="185" t="s">
        <v>95</v>
      </c>
      <c r="D84" s="185"/>
      <c r="E84" s="185"/>
      <c r="F84" s="185"/>
      <c r="G84" s="185"/>
      <c r="H84" s="185"/>
      <c r="I84" s="185"/>
      <c r="J84" s="185"/>
      <c r="K84" s="185"/>
      <c r="L84" s="185"/>
      <c r="M84" s="185"/>
    </row>
    <row r="85" spans="3:13" ht="24" customHeight="1">
      <c r="C85" s="186" t="s">
        <v>96</v>
      </c>
      <c r="D85" s="186"/>
      <c r="E85" s="187">
        <f>G77</f>
        <v>531130.8292452547</v>
      </c>
      <c r="F85" s="187"/>
      <c r="G85" s="186" t="s">
        <v>97</v>
      </c>
      <c r="H85" s="186"/>
      <c r="I85" s="186"/>
      <c r="J85" s="187">
        <f>J77</f>
        <v>505797.00399237906</v>
      </c>
      <c r="K85" s="187"/>
      <c r="M85" s="37"/>
    </row>
    <row r="86" spans="3:15" ht="24.75" customHeight="1">
      <c r="C86" s="186" t="s">
        <v>98</v>
      </c>
      <c r="D86" s="186"/>
      <c r="E86" s="187">
        <f>H77</f>
        <v>152245.22385536777</v>
      </c>
      <c r="F86" s="187"/>
      <c r="G86" s="186" t="s">
        <v>99</v>
      </c>
      <c r="H86" s="186"/>
      <c r="I86" s="186"/>
      <c r="J86" s="187">
        <f>K77</f>
        <v>125279.98004812535</v>
      </c>
      <c r="K86" s="187"/>
      <c r="M86" s="37"/>
      <c r="O86" s="37"/>
    </row>
    <row r="87" spans="3:11" ht="25.5" customHeight="1">
      <c r="C87" s="186" t="s">
        <v>100</v>
      </c>
      <c r="D87" s="186"/>
      <c r="E87" s="187">
        <f>I77</f>
        <v>3969.6100320000005</v>
      </c>
      <c r="F87" s="187"/>
      <c r="G87" s="186" t="s">
        <v>101</v>
      </c>
      <c r="H87" s="186"/>
      <c r="I87" s="186"/>
      <c r="J87" s="187">
        <f>L77</f>
        <v>106259.87478831493</v>
      </c>
      <c r="K87" s="187"/>
    </row>
    <row r="88" spans="3:13" ht="19.5" customHeight="1">
      <c r="C88" s="4"/>
      <c r="E88" s="5"/>
      <c r="G88" s="186" t="s">
        <v>102</v>
      </c>
      <c r="H88" s="186"/>
      <c r="I88" s="186"/>
      <c r="J88" s="187">
        <f>M77</f>
        <v>2304712.817961442</v>
      </c>
      <c r="K88" s="187"/>
      <c r="M88" s="37">
        <f>N77-N76</f>
        <v>118723.54349678682</v>
      </c>
    </row>
    <row r="89" ht="15" customHeight="1"/>
    <row r="90" ht="12" hidden="1">
      <c r="N90">
        <f>12000/9098</f>
        <v>1.3189712024620797</v>
      </c>
    </row>
    <row r="91" ht="12" hidden="1"/>
    <row r="92" spans="4:6" ht="12" hidden="1">
      <c r="D92">
        <f>1.1*30*2</f>
        <v>66</v>
      </c>
      <c r="E92">
        <f>8*3500</f>
        <v>28000</v>
      </c>
      <c r="F92">
        <f>N69+N70</f>
        <v>26202.24</v>
      </c>
    </row>
    <row r="93" spans="4:6" ht="12" hidden="1">
      <c r="D93">
        <f>D92*288.99</f>
        <v>19073.34</v>
      </c>
      <c r="F93">
        <f>F92+N64</f>
        <v>28070.46366492172</v>
      </c>
    </row>
    <row r="94" spans="4:5" ht="12" hidden="1">
      <c r="D94">
        <f>D93*0.18</f>
        <v>3433.2012</v>
      </c>
      <c r="E94">
        <f>3500/9098</f>
        <v>0.3846999340514399</v>
      </c>
    </row>
    <row r="95" ht="12" hidden="1">
      <c r="D95">
        <f>D93+D94</f>
        <v>22506.5412</v>
      </c>
    </row>
    <row r="96" spans="4:6" ht="12" hidden="1">
      <c r="D96">
        <f>D95/9098</f>
        <v>2.4737899758188613</v>
      </c>
      <c r="F96">
        <f>60*198</f>
        <v>11880</v>
      </c>
    </row>
    <row r="97" ht="12" hidden="1">
      <c r="F97">
        <f>F96/9098</f>
        <v>1.3057814904374587</v>
      </c>
    </row>
    <row r="98" ht="12" hidden="1">
      <c r="F98">
        <f>1.3*9098</f>
        <v>11827.4</v>
      </c>
    </row>
    <row r="99" ht="12" hidden="1"/>
    <row r="100" ht="12" hidden="1"/>
    <row r="101" spans="5:6" ht="12" hidden="1">
      <c r="E101">
        <f>1*9098</f>
        <v>9098</v>
      </c>
      <c r="F101">
        <v>0.65</v>
      </c>
    </row>
    <row r="102" spans="3:10" ht="12">
      <c r="C102" s="189" t="s">
        <v>192</v>
      </c>
      <c r="D102" s="189"/>
      <c r="E102" s="189"/>
      <c r="F102" s="189"/>
      <c r="G102" s="189"/>
      <c r="H102" s="189"/>
      <c r="I102" s="189"/>
      <c r="J102" s="189"/>
    </row>
    <row r="103" spans="3:10" ht="15" customHeight="1">
      <c r="C103" s="188" t="s">
        <v>96</v>
      </c>
      <c r="D103" s="188"/>
      <c r="E103" s="36">
        <f>E85/12</f>
        <v>44260.90243710456</v>
      </c>
      <c r="F103" s="36"/>
      <c r="G103" s="188" t="s">
        <v>97</v>
      </c>
      <c r="H103" s="188"/>
      <c r="I103" s="188"/>
      <c r="J103" s="36">
        <f>J85/12</f>
        <v>42149.750332698255</v>
      </c>
    </row>
    <row r="104" spans="3:10" ht="15" customHeight="1">
      <c r="C104" s="188" t="s">
        <v>98</v>
      </c>
      <c r="D104" s="188"/>
      <c r="E104" s="36">
        <f>E86/12</f>
        <v>12687.101987947315</v>
      </c>
      <c r="F104" s="36"/>
      <c r="G104" s="188" t="s">
        <v>99</v>
      </c>
      <c r="H104" s="188"/>
      <c r="I104" s="188"/>
      <c r="J104" s="36">
        <f>J86/12</f>
        <v>10439.998337343779</v>
      </c>
    </row>
    <row r="105" spans="3:10" ht="15" customHeight="1">
      <c r="C105" s="188" t="s">
        <v>100</v>
      </c>
      <c r="D105" s="188"/>
      <c r="E105" s="36">
        <f>E87/12</f>
        <v>330.80083600000006</v>
      </c>
      <c r="F105" s="36"/>
      <c r="G105" s="188" t="s">
        <v>101</v>
      </c>
      <c r="H105" s="188"/>
      <c r="I105" s="188"/>
      <c r="J105" s="36">
        <f>J87/12</f>
        <v>8854.989565692911</v>
      </c>
    </row>
    <row r="106" spans="3:11" ht="15">
      <c r="C106" s="36"/>
      <c r="D106" s="36"/>
      <c r="E106" s="36"/>
      <c r="F106" s="36"/>
      <c r="G106" s="188" t="s">
        <v>102</v>
      </c>
      <c r="H106" s="188"/>
      <c r="I106" s="188"/>
      <c r="J106" s="36">
        <f>J88/12</f>
        <v>192059.40149678683</v>
      </c>
      <c r="K106" s="40"/>
    </row>
    <row r="109" ht="12">
      <c r="H109">
        <f>15000+45000+20000+18000+40000</f>
        <v>138000</v>
      </c>
    </row>
    <row r="110" ht="12">
      <c r="H110">
        <f>H109*30.2%</f>
        <v>41676</v>
      </c>
    </row>
    <row r="111" spans="8:9" ht="12">
      <c r="H111">
        <f>H109+H110</f>
        <v>179676</v>
      </c>
      <c r="I111" s="37"/>
    </row>
  </sheetData>
  <sheetProtection formatCells="0" formatColumns="0" formatRows="0" insertColumns="0" insertRows="0" insertHyperlinks="0" deleteColumns="0" deleteRows="0" sort="0" autoFilter="0" pivotTables="0"/>
  <mergeCells count="37">
    <mergeCell ref="G106:I106"/>
    <mergeCell ref="C102:J102"/>
    <mergeCell ref="C103:D103"/>
    <mergeCell ref="G103:I103"/>
    <mergeCell ref="C104:D104"/>
    <mergeCell ref="G104:I104"/>
    <mergeCell ref="C105:D105"/>
    <mergeCell ref="G105:I105"/>
    <mergeCell ref="C87:D87"/>
    <mergeCell ref="E87:F87"/>
    <mergeCell ref="G87:I87"/>
    <mergeCell ref="J87:K87"/>
    <mergeCell ref="G88:I88"/>
    <mergeCell ref="J88:K88"/>
    <mergeCell ref="C84:M84"/>
    <mergeCell ref="C85:D85"/>
    <mergeCell ref="E85:F85"/>
    <mergeCell ref="G85:I85"/>
    <mergeCell ref="J85:K85"/>
    <mergeCell ref="C86:D86"/>
    <mergeCell ref="E86:F86"/>
    <mergeCell ref="G86:I86"/>
    <mergeCell ref="J86:K86"/>
    <mergeCell ref="B66:P66"/>
    <mergeCell ref="B76:C76"/>
    <mergeCell ref="B77:C77"/>
    <mergeCell ref="C78:P78"/>
    <mergeCell ref="B79:C79"/>
    <mergeCell ref="P79:P81"/>
    <mergeCell ref="B80:C80"/>
    <mergeCell ref="B81:D81"/>
    <mergeCell ref="B1:P1"/>
    <mergeCell ref="B2:O2"/>
    <mergeCell ref="B4:P4"/>
    <mergeCell ref="B34:F34"/>
    <mergeCell ref="B35:P35"/>
    <mergeCell ref="B65:F65"/>
  </mergeCells>
  <printOptions/>
  <pageMargins left="0.35" right="0.35" top="0.35" bottom="0.161875" header="0.3" footer="0.3"/>
  <pageSetup fitToHeight="0" fitToWidth="1" horizontalDpi="600" verticalDpi="600" orientation="landscape" paperSize="9" scale="73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1"/>
  <sheetViews>
    <sheetView view="pageLayout" zoomScaleNormal="75" workbookViewId="0" topLeftCell="C70">
      <selection activeCell="C85" sqref="C85:D85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78.57421875" style="0" customWidth="1"/>
    <col min="4" max="4" width="27.140625" style="0" customWidth="1"/>
    <col min="5" max="5" width="11.140625" style="0" customWidth="1"/>
    <col min="6" max="6" width="13.7109375" style="0" customWidth="1"/>
    <col min="7" max="7" width="14.140625" style="0" hidden="1" customWidth="1"/>
    <col min="8" max="8" width="14.28125" style="0" hidden="1" customWidth="1"/>
    <col min="9" max="9" width="14.140625" style="0" hidden="1" customWidth="1"/>
    <col min="10" max="10" width="14.00390625" style="0" hidden="1" customWidth="1"/>
    <col min="11" max="11" width="14.28125" style="0" hidden="1" customWidth="1"/>
    <col min="12" max="12" width="15.140625" style="0" hidden="1" customWidth="1"/>
    <col min="13" max="13" width="13.57421875" style="0" customWidth="1"/>
    <col min="14" max="14" width="12.421875" style="0" customWidth="1"/>
    <col min="15" max="15" width="11.00390625" style="0" customWidth="1"/>
    <col min="16" max="16" width="21.28125" style="0" customWidth="1"/>
  </cols>
  <sheetData>
    <row r="1" spans="2:16" ht="26.25" customHeight="1">
      <c r="B1" s="163" t="s">
        <v>237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2:18" ht="18" customHeight="1" thickBot="1">
      <c r="B2" s="164" t="s">
        <v>188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R2" s="21"/>
    </row>
    <row r="3" spans="2:16" ht="45.75" customHeight="1" thickBot="1" thickTop="1">
      <c r="B3" s="61" t="s">
        <v>0</v>
      </c>
      <c r="C3" s="62" t="s">
        <v>1</v>
      </c>
      <c r="D3" s="62" t="s">
        <v>2</v>
      </c>
      <c r="E3" s="62" t="s">
        <v>3</v>
      </c>
      <c r="F3" s="62" t="s">
        <v>4</v>
      </c>
      <c r="G3" s="62" t="s">
        <v>5</v>
      </c>
      <c r="H3" s="62" t="s">
        <v>6</v>
      </c>
      <c r="I3" s="62" t="s">
        <v>7</v>
      </c>
      <c r="J3" s="62" t="s">
        <v>8</v>
      </c>
      <c r="K3" s="62" t="s">
        <v>9</v>
      </c>
      <c r="L3" s="62" t="s">
        <v>10</v>
      </c>
      <c r="M3" s="63" t="s">
        <v>225</v>
      </c>
      <c r="N3" s="64" t="s">
        <v>173</v>
      </c>
      <c r="O3" s="65" t="s">
        <v>174</v>
      </c>
      <c r="P3" s="66" t="s">
        <v>204</v>
      </c>
    </row>
    <row r="4" spans="2:16" ht="24.75" customHeight="1" thickBot="1">
      <c r="B4" s="165" t="s">
        <v>12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2:16" ht="16.5" customHeight="1">
      <c r="B5" s="83">
        <v>1</v>
      </c>
      <c r="C5" s="84" t="s">
        <v>13</v>
      </c>
      <c r="D5" s="85" t="s">
        <v>14</v>
      </c>
      <c r="E5" s="86">
        <v>1</v>
      </c>
      <c r="F5" s="86">
        <v>2</v>
      </c>
      <c r="G5" s="87">
        <f>1128.9376*E5*F5</f>
        <v>2257.8752</v>
      </c>
      <c r="H5" s="87">
        <f>422.262792*E5*F5</f>
        <v>844.525584</v>
      </c>
      <c r="I5" s="87">
        <f aca="true" t="shared" si="0" ref="I5:I33">0*E5*F5</f>
        <v>0</v>
      </c>
      <c r="J5" s="87">
        <f>1074.7485952*E5*F5</f>
        <v>2149.4971904</v>
      </c>
      <c r="K5" s="87">
        <f>275.724643656*E5*F5</f>
        <v>551.449287312</v>
      </c>
      <c r="L5" s="87">
        <f>225.78752*E5*F5</f>
        <v>451.57504</v>
      </c>
      <c r="M5" s="88">
        <f aca="true" t="shared" si="1" ref="M5:M33">SUM(G5:L5)</f>
        <v>6254.922301711999</v>
      </c>
      <c r="N5" s="134">
        <f aca="true" t="shared" si="2" ref="N5:N33">M5/12</f>
        <v>521.2435251426666</v>
      </c>
      <c r="O5" s="70">
        <f>N5/9098</f>
        <v>0.05729209992774968</v>
      </c>
      <c r="P5" s="71" t="s">
        <v>205</v>
      </c>
    </row>
    <row r="6" spans="2:16" s="45" customFormat="1" ht="12.75">
      <c r="B6" s="89">
        <v>2</v>
      </c>
      <c r="C6" s="77" t="s">
        <v>15</v>
      </c>
      <c r="D6" s="41" t="s">
        <v>16</v>
      </c>
      <c r="E6" s="42">
        <v>14.961</v>
      </c>
      <c r="F6" s="42">
        <v>2</v>
      </c>
      <c r="G6" s="43">
        <f>43.59264*E6*F6</f>
        <v>1304.37897408</v>
      </c>
      <c r="H6" s="43">
        <f aca="true" t="shared" si="3" ref="H6:H12">0*E6*F6</f>
        <v>0</v>
      </c>
      <c r="I6" s="43">
        <f t="shared" si="0"/>
        <v>0</v>
      </c>
      <c r="J6" s="43">
        <f>41.50019328*E6*F6</f>
        <v>1241.76878332416</v>
      </c>
      <c r="K6" s="43">
        <f>8.9347474944*E6*F6</f>
        <v>267.3455145274368</v>
      </c>
      <c r="L6" s="43">
        <f>8.718528*E6*F6</f>
        <v>260.875794816</v>
      </c>
      <c r="M6" s="90">
        <f t="shared" si="1"/>
        <v>3074.369066747597</v>
      </c>
      <c r="N6" s="123">
        <f t="shared" si="2"/>
        <v>256.19742222896645</v>
      </c>
      <c r="O6" s="56">
        <f aca="true" t="shared" si="4" ref="O6:O33">N6/9098</f>
        <v>0.028159751838752082</v>
      </c>
      <c r="P6" s="73" t="s">
        <v>205</v>
      </c>
    </row>
    <row r="7" spans="2:16" s="45" customFormat="1" ht="12.75">
      <c r="B7" s="91">
        <v>3</v>
      </c>
      <c r="C7" s="77" t="s">
        <v>17</v>
      </c>
      <c r="D7" s="41" t="s">
        <v>16</v>
      </c>
      <c r="E7" s="42">
        <v>14.961</v>
      </c>
      <c r="F7" s="42">
        <v>2</v>
      </c>
      <c r="G7" s="43">
        <f>347.62336*E7*F7</f>
        <v>10401.58617792</v>
      </c>
      <c r="H7" s="43">
        <f t="shared" si="3"/>
        <v>0</v>
      </c>
      <c r="I7" s="43">
        <f t="shared" si="0"/>
        <v>0</v>
      </c>
      <c r="J7" s="43">
        <f>330.93743872*E7*F7</f>
        <v>9902.31004137984</v>
      </c>
      <c r="K7" s="43">
        <f>71.2488838656*E7*F7</f>
        <v>2131.9091030264835</v>
      </c>
      <c r="L7" s="43">
        <f>69.524672*E7*F7</f>
        <v>2080.3172355839997</v>
      </c>
      <c r="M7" s="90">
        <f t="shared" si="1"/>
        <v>24516.122557910323</v>
      </c>
      <c r="N7" s="123">
        <f t="shared" si="2"/>
        <v>2043.0102131591937</v>
      </c>
      <c r="O7" s="56">
        <f t="shared" si="4"/>
        <v>0.22455596979107426</v>
      </c>
      <c r="P7" s="73" t="s">
        <v>205</v>
      </c>
    </row>
    <row r="8" spans="2:16" s="45" customFormat="1" ht="12.75">
      <c r="B8" s="89">
        <v>4</v>
      </c>
      <c r="C8" s="77" t="s">
        <v>18</v>
      </c>
      <c r="D8" s="41" t="s">
        <v>16</v>
      </c>
      <c r="E8" s="42">
        <v>14.961</v>
      </c>
      <c r="F8" s="42">
        <v>2</v>
      </c>
      <c r="G8" s="43">
        <f>504.2464*E8*F8</f>
        <v>15088.0607808</v>
      </c>
      <c r="H8" s="43">
        <f t="shared" si="3"/>
        <v>0</v>
      </c>
      <c r="I8" s="43">
        <f t="shared" si="0"/>
        <v>0</v>
      </c>
      <c r="J8" s="43">
        <f>480.0425728*E8*F8</f>
        <v>14363.8338633216</v>
      </c>
      <c r="K8" s="43">
        <f>103.350342144*E8*F8</f>
        <v>3092.448937632768</v>
      </c>
      <c r="L8" s="43">
        <f>100.84928*E8*F8</f>
        <v>3017.61215616</v>
      </c>
      <c r="M8" s="90">
        <f t="shared" si="1"/>
        <v>35561.95573791437</v>
      </c>
      <c r="N8" s="123">
        <f t="shared" si="2"/>
        <v>2963.4963114928646</v>
      </c>
      <c r="O8" s="56">
        <f t="shared" si="4"/>
        <v>0.3257305244551401</v>
      </c>
      <c r="P8" s="73" t="s">
        <v>205</v>
      </c>
    </row>
    <row r="9" spans="2:16" s="45" customFormat="1" ht="12.75" customHeight="1">
      <c r="B9" s="124">
        <v>5</v>
      </c>
      <c r="C9" s="125" t="s">
        <v>19</v>
      </c>
      <c r="D9" s="46" t="s">
        <v>20</v>
      </c>
      <c r="E9" s="55">
        <v>1.3436</v>
      </c>
      <c r="F9" s="55">
        <v>2</v>
      </c>
      <c r="G9" s="126">
        <f>352.97248*E9*F9</f>
        <v>948.507648256</v>
      </c>
      <c r="H9" s="126">
        <f t="shared" si="3"/>
        <v>0</v>
      </c>
      <c r="I9" s="126">
        <f t="shared" si="0"/>
        <v>0</v>
      </c>
      <c r="J9" s="126">
        <f>336.02980096*E9*F9</f>
        <v>902.9792811397119</v>
      </c>
      <c r="K9" s="126">
        <f>72.3452395008*E9*F9</f>
        <v>194.40612758654976</v>
      </c>
      <c r="L9" s="126">
        <f>70.594496*E9*F9</f>
        <v>189.7015296512</v>
      </c>
      <c r="M9" s="118">
        <f t="shared" si="1"/>
        <v>2235.594586633462</v>
      </c>
      <c r="N9" s="123">
        <f t="shared" si="2"/>
        <v>186.2995488861218</v>
      </c>
      <c r="O9" s="56">
        <f t="shared" si="4"/>
        <v>0.02047697833437259</v>
      </c>
      <c r="P9" s="73" t="s">
        <v>205</v>
      </c>
    </row>
    <row r="10" spans="2:16" s="45" customFormat="1" ht="12.75" customHeight="1">
      <c r="B10" s="91">
        <v>6</v>
      </c>
      <c r="C10" s="38" t="s">
        <v>244</v>
      </c>
      <c r="D10" s="38" t="s">
        <v>245</v>
      </c>
      <c r="E10" s="132">
        <v>2</v>
      </c>
      <c r="F10" s="132">
        <v>1</v>
      </c>
      <c r="G10" s="133">
        <f>1933.638*E10*F10</f>
        <v>3867.276</v>
      </c>
      <c r="H10" s="133">
        <f t="shared" si="3"/>
        <v>0</v>
      </c>
      <c r="I10" s="133">
        <f>0*E10*F10</f>
        <v>0</v>
      </c>
      <c r="J10" s="133">
        <f>1840.823376*E10*F10</f>
        <v>3681.646752</v>
      </c>
      <c r="K10" s="133">
        <f>396.31844448*E10*F10</f>
        <v>792.63688896</v>
      </c>
      <c r="L10" s="133">
        <f>386.7276*E10*F10</f>
        <v>773.4552</v>
      </c>
      <c r="M10" s="136">
        <f>SUM(G10:L10)</f>
        <v>9115.01484096</v>
      </c>
      <c r="N10" s="123">
        <f t="shared" si="2"/>
        <v>759.58457008</v>
      </c>
      <c r="O10" s="56">
        <f t="shared" si="4"/>
        <v>0.08348918114750495</v>
      </c>
      <c r="P10" s="73" t="s">
        <v>207</v>
      </c>
    </row>
    <row r="11" spans="2:16" s="45" customFormat="1" ht="12.75" customHeight="1">
      <c r="B11" s="89">
        <v>7</v>
      </c>
      <c r="C11" s="38" t="s">
        <v>246</v>
      </c>
      <c r="D11" s="38" t="s">
        <v>245</v>
      </c>
      <c r="E11" s="132">
        <v>1</v>
      </c>
      <c r="F11" s="132">
        <v>1</v>
      </c>
      <c r="G11" s="133">
        <f>2209.872*E11*F11</f>
        <v>2209.872</v>
      </c>
      <c r="H11" s="133">
        <f t="shared" si="3"/>
        <v>0</v>
      </c>
      <c r="I11" s="133">
        <f>0*E11*F11</f>
        <v>0</v>
      </c>
      <c r="J11" s="133">
        <f>2103.798144*E11*F11</f>
        <v>2103.798144</v>
      </c>
      <c r="K11" s="133">
        <f>452.93536512*E11*F11</f>
        <v>452.93536512</v>
      </c>
      <c r="L11" s="133">
        <f>441.9744*E11*F11</f>
        <v>441.9744</v>
      </c>
      <c r="M11" s="136">
        <f>SUM(G11:L11)</f>
        <v>5208.57990912</v>
      </c>
      <c r="N11" s="123">
        <f t="shared" si="2"/>
        <v>434.04832575999995</v>
      </c>
      <c r="O11" s="56">
        <f t="shared" si="4"/>
        <v>0.047708103512859965</v>
      </c>
      <c r="P11" s="73" t="s">
        <v>207</v>
      </c>
    </row>
    <row r="12" spans="2:16" s="45" customFormat="1" ht="12.75" customHeight="1">
      <c r="B12" s="124">
        <v>8</v>
      </c>
      <c r="C12" s="38" t="s">
        <v>249</v>
      </c>
      <c r="D12" s="38" t="s">
        <v>247</v>
      </c>
      <c r="E12" s="132">
        <v>0.08</v>
      </c>
      <c r="F12" s="132">
        <v>12</v>
      </c>
      <c r="G12" s="133">
        <f>1341.312*E12*F12</f>
        <v>1287.65952</v>
      </c>
      <c r="H12" s="133">
        <f t="shared" si="3"/>
        <v>0</v>
      </c>
      <c r="I12" s="133">
        <f>0*E12*F12</f>
        <v>0</v>
      </c>
      <c r="J12" s="133">
        <f>1276.929024*E12*F12</f>
        <v>1225.85186304</v>
      </c>
      <c r="K12" s="133">
        <f>274.91530752*E12*F12</f>
        <v>263.9186952192</v>
      </c>
      <c r="L12" s="133">
        <f>268.2624*E12*F12</f>
        <v>257.531904</v>
      </c>
      <c r="M12" s="136">
        <f>SUM(G12:L12)</f>
        <v>3034.9619822591994</v>
      </c>
      <c r="N12" s="123">
        <f t="shared" si="2"/>
        <v>252.91349852159996</v>
      </c>
      <c r="O12" s="56">
        <f t="shared" si="4"/>
        <v>0.027798801771993842</v>
      </c>
      <c r="P12" s="122" t="s">
        <v>226</v>
      </c>
    </row>
    <row r="13" spans="2:16" ht="29.25" customHeight="1">
      <c r="B13" s="91">
        <v>9</v>
      </c>
      <c r="C13" s="127" t="s">
        <v>21</v>
      </c>
      <c r="D13" s="128" t="s">
        <v>22</v>
      </c>
      <c r="E13" s="129">
        <v>1</v>
      </c>
      <c r="F13" s="129">
        <v>2</v>
      </c>
      <c r="G13" s="130">
        <f>3958.7632*E13*F13</f>
        <v>7917.5264</v>
      </c>
      <c r="H13" s="130">
        <f>608.164872*E13*F13</f>
        <v>1216.329744</v>
      </c>
      <c r="I13" s="130">
        <f t="shared" si="0"/>
        <v>0</v>
      </c>
      <c r="J13" s="130">
        <f>3768.7425664*E13*F13</f>
        <v>7537.4851328</v>
      </c>
      <c r="K13" s="130">
        <f>875.245417032*E13*F13</f>
        <v>1750.490834064</v>
      </c>
      <c r="L13" s="130">
        <f>791.75264*E13*F13</f>
        <v>1583.50528</v>
      </c>
      <c r="M13" s="131">
        <f t="shared" si="1"/>
        <v>20005.337390864</v>
      </c>
      <c r="N13" s="123">
        <f t="shared" si="2"/>
        <v>1667.1114492386666</v>
      </c>
      <c r="O13" s="56">
        <f t="shared" si="4"/>
        <v>0.1832393327367187</v>
      </c>
      <c r="P13" s="73" t="s">
        <v>205</v>
      </c>
    </row>
    <row r="14" spans="2:16" ht="29.25" customHeight="1">
      <c r="B14" s="89">
        <v>10</v>
      </c>
      <c r="C14" s="78" t="s">
        <v>266</v>
      </c>
      <c r="D14" s="1" t="s">
        <v>223</v>
      </c>
      <c r="E14" s="60">
        <v>100</v>
      </c>
      <c r="F14" s="60">
        <v>1</v>
      </c>
      <c r="G14" s="3">
        <f>50.2992*E14*F14</f>
        <v>5029.92</v>
      </c>
      <c r="H14" s="3">
        <f>227.7324*E14*F14</f>
        <v>22773.24</v>
      </c>
      <c r="I14" s="3">
        <f>0*E14*F14</f>
        <v>0</v>
      </c>
      <c r="J14" s="3">
        <f>47.8848384*E14*F14</f>
        <v>4788.48384</v>
      </c>
      <c r="K14" s="3">
        <f>34.221226032*E14*F14</f>
        <v>3422.1226031999995</v>
      </c>
      <c r="L14" s="3">
        <f>10.05984*E14*F14</f>
        <v>1005.9839999999999</v>
      </c>
      <c r="M14" s="93">
        <f>SUM(G14:L14)</f>
        <v>37019.7504432</v>
      </c>
      <c r="N14" s="123">
        <f t="shared" si="2"/>
        <v>3084.9792036</v>
      </c>
      <c r="O14" s="56">
        <f t="shared" si="4"/>
        <v>0.33908322747856673</v>
      </c>
      <c r="P14" s="73" t="s">
        <v>224</v>
      </c>
    </row>
    <row r="15" spans="2:16" ht="13.5" customHeight="1">
      <c r="B15" s="124">
        <v>11</v>
      </c>
      <c r="C15" s="59" t="s">
        <v>23</v>
      </c>
      <c r="D15" s="22" t="s">
        <v>24</v>
      </c>
      <c r="E15" s="23">
        <v>0.68</v>
      </c>
      <c r="F15" s="23">
        <v>2</v>
      </c>
      <c r="G15" s="24">
        <f>1134.5544*E15*F15</f>
        <v>1542.9939840000002</v>
      </c>
      <c r="H15" s="24">
        <f>0*E15*F15</f>
        <v>0</v>
      </c>
      <c r="I15" s="24">
        <f t="shared" si="0"/>
        <v>0</v>
      </c>
      <c r="J15" s="24">
        <f>1080.0957888*E15*F15</f>
        <v>1468.9302727680001</v>
      </c>
      <c r="K15" s="24">
        <f>232.538269824*E15*F15</f>
        <v>316.25204696064003</v>
      </c>
      <c r="L15" s="24">
        <f>226.91088*E15*F15</f>
        <v>308.5987968</v>
      </c>
      <c r="M15" s="92">
        <f t="shared" si="1"/>
        <v>3636.7751005286405</v>
      </c>
      <c r="N15" s="123">
        <f t="shared" si="2"/>
        <v>303.06459171072004</v>
      </c>
      <c r="O15" s="56">
        <f t="shared" si="4"/>
        <v>0.0333111224126973</v>
      </c>
      <c r="P15" s="73" t="s">
        <v>205</v>
      </c>
    </row>
    <row r="16" spans="2:16" ht="12.75">
      <c r="B16" s="91">
        <v>12</v>
      </c>
      <c r="C16" s="59" t="s">
        <v>25</v>
      </c>
      <c r="D16" s="22" t="s">
        <v>26</v>
      </c>
      <c r="E16" s="23">
        <v>12</v>
      </c>
      <c r="F16" s="23">
        <v>1</v>
      </c>
      <c r="G16" s="24">
        <f>558.88*E16*F16</f>
        <v>6706.5599999999995</v>
      </c>
      <c r="H16" s="24">
        <f>303.59812*E16*F16</f>
        <v>3643.17744</v>
      </c>
      <c r="I16" s="24">
        <f t="shared" si="0"/>
        <v>0</v>
      </c>
      <c r="J16" s="24">
        <f>532.05376*E16*F16</f>
        <v>6384.64512</v>
      </c>
      <c r="K16" s="24">
        <f>146.4258474*E16*F16</f>
        <v>1757.1101688</v>
      </c>
      <c r="L16" s="24">
        <f>111.776*E16*F16</f>
        <v>1341.312</v>
      </c>
      <c r="M16" s="92">
        <f t="shared" si="1"/>
        <v>19832.8047288</v>
      </c>
      <c r="N16" s="123">
        <f t="shared" si="2"/>
        <v>1652.7337274000001</v>
      </c>
      <c r="O16" s="56">
        <f t="shared" si="4"/>
        <v>0.18165901598153442</v>
      </c>
      <c r="P16" s="73" t="s">
        <v>207</v>
      </c>
    </row>
    <row r="17" spans="2:16" ht="12.75">
      <c r="B17" s="89">
        <v>13</v>
      </c>
      <c r="C17" s="59" t="s">
        <v>27</v>
      </c>
      <c r="D17" s="22" t="s">
        <v>26</v>
      </c>
      <c r="E17" s="23">
        <v>12</v>
      </c>
      <c r="F17" s="23">
        <v>1</v>
      </c>
      <c r="G17" s="24">
        <f>223.552*E17*F17</f>
        <v>2682.624</v>
      </c>
      <c r="H17" s="24">
        <f>0*E17*F17</f>
        <v>0</v>
      </c>
      <c r="I17" s="24">
        <f t="shared" si="0"/>
        <v>0</v>
      </c>
      <c r="J17" s="24">
        <f>212.821504*E17*F17</f>
        <v>2553.858048</v>
      </c>
      <c r="K17" s="24">
        <f>45.81921792*E17*F17</f>
        <v>549.83061504</v>
      </c>
      <c r="L17" s="24">
        <f>44.7104*E17*F17</f>
        <v>536.5248</v>
      </c>
      <c r="M17" s="92">
        <f t="shared" si="1"/>
        <v>6322.83746304</v>
      </c>
      <c r="N17" s="123">
        <f t="shared" si="2"/>
        <v>526.90312192</v>
      </c>
      <c r="O17" s="56">
        <f t="shared" si="4"/>
        <v>0.057914170358320506</v>
      </c>
      <c r="P17" s="73" t="s">
        <v>207</v>
      </c>
    </row>
    <row r="18" spans="2:16" ht="12.75">
      <c r="B18" s="124">
        <v>14</v>
      </c>
      <c r="C18" s="59" t="s">
        <v>28</v>
      </c>
      <c r="D18" s="22" t="s">
        <v>29</v>
      </c>
      <c r="E18" s="23">
        <v>1</v>
      </c>
      <c r="F18" s="23">
        <v>1</v>
      </c>
      <c r="G18" s="24">
        <f>31.935604913128*E18*F18</f>
        <v>31.935604913128</v>
      </c>
      <c r="H18" s="24">
        <f>0*E18*F18</f>
        <v>0</v>
      </c>
      <c r="I18" s="24">
        <f t="shared" si="0"/>
        <v>0</v>
      </c>
      <c r="J18" s="24">
        <f>30.402695877298*E18*F18</f>
        <v>30.402695877298</v>
      </c>
      <c r="K18" s="24">
        <f>6.5455215829947*E18*F18</f>
        <v>6.5455215829947</v>
      </c>
      <c r="L18" s="24">
        <f>6.3871209826256*E18*F18</f>
        <v>6.3871209826256</v>
      </c>
      <c r="M18" s="92">
        <f t="shared" si="1"/>
        <v>75.2709433560463</v>
      </c>
      <c r="N18" s="123">
        <f t="shared" si="2"/>
        <v>6.2725786130038585</v>
      </c>
      <c r="O18" s="56">
        <f t="shared" si="4"/>
        <v>0.0006894458796443019</v>
      </c>
      <c r="P18" s="73" t="s">
        <v>207</v>
      </c>
    </row>
    <row r="19" spans="2:16" ht="25.5">
      <c r="B19" s="91">
        <v>15</v>
      </c>
      <c r="C19" s="59" t="s">
        <v>30</v>
      </c>
      <c r="D19" s="22" t="s">
        <v>31</v>
      </c>
      <c r="E19" s="23">
        <v>1.384</v>
      </c>
      <c r="F19" s="23">
        <v>2</v>
      </c>
      <c r="G19" s="24">
        <f>504.2464*E19*F19</f>
        <v>1395.7540351999999</v>
      </c>
      <c r="H19" s="24">
        <f>0*E19*F19</f>
        <v>0</v>
      </c>
      <c r="I19" s="24">
        <f t="shared" si="0"/>
        <v>0</v>
      </c>
      <c r="J19" s="24">
        <f>480.0425728*E19*F19</f>
        <v>1328.7578415103999</v>
      </c>
      <c r="K19" s="24">
        <f>103.350342144*E19*F19</f>
        <v>286.073747054592</v>
      </c>
      <c r="L19" s="24">
        <f>100.84928*E19*F19</f>
        <v>279.15080703999996</v>
      </c>
      <c r="M19" s="92">
        <f t="shared" si="1"/>
        <v>3289.7364308049914</v>
      </c>
      <c r="N19" s="123">
        <f t="shared" si="2"/>
        <v>274.1447025670826</v>
      </c>
      <c r="O19" s="56">
        <f t="shared" si="4"/>
        <v>0.03013241399945951</v>
      </c>
      <c r="P19" s="73" t="s">
        <v>205</v>
      </c>
    </row>
    <row r="20" spans="2:16" ht="12.75">
      <c r="B20" s="89">
        <v>16</v>
      </c>
      <c r="C20" s="59" t="s">
        <v>32</v>
      </c>
      <c r="D20" s="22" t="s">
        <v>33</v>
      </c>
      <c r="E20" s="23">
        <v>1</v>
      </c>
      <c r="F20" s="23">
        <v>4</v>
      </c>
      <c r="G20" s="24">
        <f>447.104*E20*F20</f>
        <v>1788.416</v>
      </c>
      <c r="H20" s="24">
        <f>0*E20*F20</f>
        <v>0</v>
      </c>
      <c r="I20" s="24">
        <f t="shared" si="0"/>
        <v>0</v>
      </c>
      <c r="J20" s="24">
        <f>425.643008*E20*F20</f>
        <v>1702.572032</v>
      </c>
      <c r="K20" s="24">
        <f>91.63843584*E20*F20</f>
        <v>366.55374336</v>
      </c>
      <c r="L20" s="24">
        <f>89.4208*E20*F20</f>
        <v>357.6832</v>
      </c>
      <c r="M20" s="92">
        <f t="shared" si="1"/>
        <v>4215.224975360001</v>
      </c>
      <c r="N20" s="123">
        <f t="shared" si="2"/>
        <v>351.26874794666674</v>
      </c>
      <c r="O20" s="56">
        <f t="shared" si="4"/>
        <v>0.03860944690554701</v>
      </c>
      <c r="P20" s="73" t="s">
        <v>206</v>
      </c>
    </row>
    <row r="21" spans="2:16" ht="14.25" customHeight="1">
      <c r="B21" s="124">
        <v>17</v>
      </c>
      <c r="C21" s="59" t="s">
        <v>34</v>
      </c>
      <c r="D21" s="22" t="s">
        <v>35</v>
      </c>
      <c r="E21" s="23">
        <v>1</v>
      </c>
      <c r="F21" s="23">
        <v>1</v>
      </c>
      <c r="G21" s="24">
        <f>439.198592*E21*F21</f>
        <v>439.198592</v>
      </c>
      <c r="H21" s="24">
        <f>3.308846226*E21*F21</f>
        <v>3.308846226</v>
      </c>
      <c r="I21" s="24">
        <f t="shared" si="0"/>
        <v>0</v>
      </c>
      <c r="J21" s="24">
        <f>418.117059584*E21*F21</f>
        <v>418.117059584</v>
      </c>
      <c r="K21" s="24">
        <f>90.36557227005*E21*F21</f>
        <v>90.36557227005</v>
      </c>
      <c r="L21" s="24">
        <f>87.8397184*E21*F21</f>
        <v>87.8397184</v>
      </c>
      <c r="M21" s="92">
        <f t="shared" si="1"/>
        <v>1038.8297884800502</v>
      </c>
      <c r="N21" s="123">
        <f t="shared" si="2"/>
        <v>86.56914904000418</v>
      </c>
      <c r="O21" s="56">
        <f t="shared" si="4"/>
        <v>0.009515184550451108</v>
      </c>
      <c r="P21" s="73" t="s">
        <v>207</v>
      </c>
    </row>
    <row r="22" spans="2:16" ht="14.25" customHeight="1">
      <c r="B22" s="91">
        <v>18</v>
      </c>
      <c r="C22" s="59" t="s">
        <v>36</v>
      </c>
      <c r="D22" s="22" t="s">
        <v>35</v>
      </c>
      <c r="E22" s="23">
        <v>1</v>
      </c>
      <c r="F22" s="23">
        <v>1</v>
      </c>
      <c r="G22" s="24">
        <f>439.198592*E22*F22</f>
        <v>439.198592</v>
      </c>
      <c r="H22" s="24">
        <f>3.308846226*E22*F22</f>
        <v>3.308846226</v>
      </c>
      <c r="I22" s="24">
        <f t="shared" si="0"/>
        <v>0</v>
      </c>
      <c r="J22" s="24">
        <f>418.117059584*E22*F22</f>
        <v>418.117059584</v>
      </c>
      <c r="K22" s="24">
        <f>90.36557227005*E22*F22</f>
        <v>90.36557227005</v>
      </c>
      <c r="L22" s="24">
        <f>87.8397184*E22*F22</f>
        <v>87.8397184</v>
      </c>
      <c r="M22" s="92">
        <f t="shared" si="1"/>
        <v>1038.8297884800502</v>
      </c>
      <c r="N22" s="123">
        <f t="shared" si="2"/>
        <v>86.56914904000418</v>
      </c>
      <c r="O22" s="56">
        <f t="shared" si="4"/>
        <v>0.009515184550451108</v>
      </c>
      <c r="P22" s="73" t="s">
        <v>207</v>
      </c>
    </row>
    <row r="23" spans="2:16" ht="15.75" customHeight="1">
      <c r="B23" s="89">
        <v>19</v>
      </c>
      <c r="C23" s="59" t="s">
        <v>37</v>
      </c>
      <c r="D23" s="22" t="s">
        <v>38</v>
      </c>
      <c r="E23" s="23">
        <v>4</v>
      </c>
      <c r="F23" s="23">
        <v>4</v>
      </c>
      <c r="G23" s="24">
        <f>13.41312*E23*F23</f>
        <v>214.60992</v>
      </c>
      <c r="H23" s="24">
        <f aca="true" t="shared" si="5" ref="H23:H33">0*E23*F23</f>
        <v>0</v>
      </c>
      <c r="I23" s="24">
        <f t="shared" si="0"/>
        <v>0</v>
      </c>
      <c r="J23" s="24">
        <f>12.76929024*E23*F23</f>
        <v>204.30864384</v>
      </c>
      <c r="K23" s="24">
        <f>2.7491530752*E23*F23</f>
        <v>43.9864492032</v>
      </c>
      <c r="L23" s="24">
        <f>2.682624*E23*F23</f>
        <v>42.921984</v>
      </c>
      <c r="M23" s="92">
        <f t="shared" si="1"/>
        <v>505.8269970432</v>
      </c>
      <c r="N23" s="123">
        <f t="shared" si="2"/>
        <v>42.152249753599996</v>
      </c>
      <c r="O23" s="56">
        <f t="shared" si="4"/>
        <v>0.004633133628665641</v>
      </c>
      <c r="P23" s="73" t="s">
        <v>206</v>
      </c>
    </row>
    <row r="24" spans="2:16" ht="27.75" customHeight="1">
      <c r="B24" s="124">
        <v>20</v>
      </c>
      <c r="C24" s="59" t="s">
        <v>220</v>
      </c>
      <c r="D24" s="22" t="s">
        <v>39</v>
      </c>
      <c r="E24" s="23">
        <v>3</v>
      </c>
      <c r="F24" s="23">
        <v>12</v>
      </c>
      <c r="G24" s="24">
        <f>11.1776*E24*F24</f>
        <v>402.3936</v>
      </c>
      <c r="H24" s="24">
        <f t="shared" si="5"/>
        <v>0</v>
      </c>
      <c r="I24" s="24">
        <f t="shared" si="0"/>
        <v>0</v>
      </c>
      <c r="J24" s="24">
        <f>10.6410752*E24*F24</f>
        <v>383.0787072</v>
      </c>
      <c r="K24" s="24">
        <f>2.290960896*E24*F24</f>
        <v>82.47459225600001</v>
      </c>
      <c r="L24" s="24">
        <f>2.23552*E24*F24</f>
        <v>80.47872000000001</v>
      </c>
      <c r="M24" s="92">
        <f t="shared" si="1"/>
        <v>948.425619456</v>
      </c>
      <c r="N24" s="123">
        <f t="shared" si="2"/>
        <v>79.035468288</v>
      </c>
      <c r="O24" s="56">
        <f t="shared" si="4"/>
        <v>0.008687125553748077</v>
      </c>
      <c r="P24" s="73" t="s">
        <v>208</v>
      </c>
    </row>
    <row r="25" spans="2:16" ht="30" customHeight="1">
      <c r="B25" s="91">
        <v>21</v>
      </c>
      <c r="C25" s="59" t="s">
        <v>40</v>
      </c>
      <c r="D25" s="22" t="s">
        <v>41</v>
      </c>
      <c r="E25" s="23">
        <v>2</v>
      </c>
      <c r="F25" s="23">
        <v>1</v>
      </c>
      <c r="G25" s="24">
        <f>96.12736*E25*F25</f>
        <v>192.25472</v>
      </c>
      <c r="H25" s="24">
        <f t="shared" si="5"/>
        <v>0</v>
      </c>
      <c r="I25" s="24">
        <f t="shared" si="0"/>
        <v>0</v>
      </c>
      <c r="J25" s="24">
        <f>91.51324672*E25*F25</f>
        <v>183.02649344</v>
      </c>
      <c r="K25" s="24">
        <f>19.7022637056*E25*F25</f>
        <v>39.4045274112</v>
      </c>
      <c r="L25" s="24">
        <f>19.225472*E25*F25</f>
        <v>38.450944</v>
      </c>
      <c r="M25" s="92">
        <f t="shared" si="1"/>
        <v>453.13668485119996</v>
      </c>
      <c r="N25" s="123">
        <f t="shared" si="2"/>
        <v>37.76139040426666</v>
      </c>
      <c r="O25" s="56">
        <f t="shared" si="4"/>
        <v>0.004150515542346303</v>
      </c>
      <c r="P25" s="73" t="s">
        <v>221</v>
      </c>
    </row>
    <row r="26" spans="2:16" ht="32.25" customHeight="1">
      <c r="B26" s="89">
        <v>22</v>
      </c>
      <c r="C26" s="59" t="s">
        <v>42</v>
      </c>
      <c r="D26" s="22" t="s">
        <v>39</v>
      </c>
      <c r="E26" s="23">
        <v>3</v>
      </c>
      <c r="F26" s="23">
        <v>1</v>
      </c>
      <c r="G26" s="24">
        <f>25.21232*E26*F26</f>
        <v>75.63695999999999</v>
      </c>
      <c r="H26" s="24">
        <f t="shared" si="5"/>
        <v>0</v>
      </c>
      <c r="I26" s="24">
        <f t="shared" si="0"/>
        <v>0</v>
      </c>
      <c r="J26" s="24">
        <f>24.00212864*E26*F26</f>
        <v>72.00638592</v>
      </c>
      <c r="K26" s="24">
        <f>5.1675171072*E26*F26</f>
        <v>15.5025513216</v>
      </c>
      <c r="L26" s="24">
        <f>5.042464*E26*F26</f>
        <v>15.127392</v>
      </c>
      <c r="M26" s="92">
        <f t="shared" si="1"/>
        <v>178.27328924160003</v>
      </c>
      <c r="N26" s="123">
        <f t="shared" si="2"/>
        <v>14.856107436800002</v>
      </c>
      <c r="O26" s="56">
        <f t="shared" si="4"/>
        <v>0.0016328981574851619</v>
      </c>
      <c r="P26" s="73" t="s">
        <v>207</v>
      </c>
    </row>
    <row r="27" spans="2:16" ht="27.75" customHeight="1">
      <c r="B27" s="124">
        <v>23</v>
      </c>
      <c r="C27" s="59" t="s">
        <v>44</v>
      </c>
      <c r="D27" s="22" t="s">
        <v>41</v>
      </c>
      <c r="E27" s="23">
        <v>6</v>
      </c>
      <c r="F27" s="23">
        <v>1</v>
      </c>
      <c r="G27" s="24">
        <f>108.412976*E27*F27</f>
        <v>650.477856</v>
      </c>
      <c r="H27" s="24">
        <f t="shared" si="5"/>
        <v>0</v>
      </c>
      <c r="I27" s="24">
        <f t="shared" si="0"/>
        <v>0</v>
      </c>
      <c r="J27" s="24">
        <f>103.209153152*E27*F27</f>
        <v>619.254918912</v>
      </c>
      <c r="K27" s="24">
        <f>22.22032356096*E27*F27</f>
        <v>133.32194136576</v>
      </c>
      <c r="L27" s="24">
        <f>21.6825952*E27*F27</f>
        <v>130.0955712</v>
      </c>
      <c r="M27" s="92">
        <f t="shared" si="1"/>
        <v>1533.15028747776</v>
      </c>
      <c r="N27" s="123">
        <f t="shared" si="2"/>
        <v>127.76252395648</v>
      </c>
      <c r="O27" s="56">
        <f t="shared" si="4"/>
        <v>0.01404292415437239</v>
      </c>
      <c r="P27" s="73" t="s">
        <v>222</v>
      </c>
    </row>
    <row r="28" spans="2:16" ht="27.75" customHeight="1">
      <c r="B28" s="91">
        <v>24</v>
      </c>
      <c r="C28" s="59" t="s">
        <v>45</v>
      </c>
      <c r="D28" s="22" t="s">
        <v>43</v>
      </c>
      <c r="E28" s="23">
        <v>1</v>
      </c>
      <c r="F28" s="23">
        <v>1</v>
      </c>
      <c r="G28" s="24">
        <f>25.21232*E28*F28</f>
        <v>25.21232</v>
      </c>
      <c r="H28" s="24">
        <f t="shared" si="5"/>
        <v>0</v>
      </c>
      <c r="I28" s="24">
        <f t="shared" si="0"/>
        <v>0</v>
      </c>
      <c r="J28" s="24">
        <f>24.00212864*E28*F28</f>
        <v>24.00212864</v>
      </c>
      <c r="K28" s="24">
        <f>5.1675171072*E28*F28</f>
        <v>5.1675171072</v>
      </c>
      <c r="L28" s="24">
        <f>5.042464*E28*F28</f>
        <v>5.042464</v>
      </c>
      <c r="M28" s="92">
        <f t="shared" si="1"/>
        <v>59.4244297472</v>
      </c>
      <c r="N28" s="123">
        <f t="shared" si="2"/>
        <v>4.952035812266667</v>
      </c>
      <c r="O28" s="56">
        <f t="shared" si="4"/>
        <v>0.0005442993858283872</v>
      </c>
      <c r="P28" s="73" t="s">
        <v>205</v>
      </c>
    </row>
    <row r="29" spans="2:16" ht="30" customHeight="1">
      <c r="B29" s="89">
        <v>25</v>
      </c>
      <c r="C29" s="59" t="s">
        <v>203</v>
      </c>
      <c r="D29" s="22" t="s">
        <v>43</v>
      </c>
      <c r="E29" s="23">
        <v>1</v>
      </c>
      <c r="F29" s="23">
        <v>12</v>
      </c>
      <c r="G29" s="24">
        <f>19.45496*E29*F29</f>
        <v>233.45952</v>
      </c>
      <c r="H29" s="24">
        <f t="shared" si="5"/>
        <v>0</v>
      </c>
      <c r="I29" s="24">
        <f t="shared" si="0"/>
        <v>0</v>
      </c>
      <c r="J29" s="24">
        <f>18.52112192*E29*F29</f>
        <v>222.25346303999999</v>
      </c>
      <c r="K29" s="24">
        <f>3.9874886016*E29*F29</f>
        <v>47.8498632192</v>
      </c>
      <c r="L29" s="24">
        <f>3.890992*E29*F29</f>
        <v>46.691903999999994</v>
      </c>
      <c r="M29" s="92">
        <f t="shared" si="1"/>
        <v>550.2547502592</v>
      </c>
      <c r="N29" s="123">
        <f t="shared" si="2"/>
        <v>45.8545625216</v>
      </c>
      <c r="O29" s="56">
        <f t="shared" si="4"/>
        <v>0.005040070622290614</v>
      </c>
      <c r="P29" s="73" t="s">
        <v>208</v>
      </c>
    </row>
    <row r="30" spans="2:16" ht="30" customHeight="1" thickBot="1">
      <c r="B30" s="152"/>
      <c r="C30" s="22" t="s">
        <v>264</v>
      </c>
      <c r="D30" s="22" t="s">
        <v>43</v>
      </c>
      <c r="E30" s="23">
        <v>1</v>
      </c>
      <c r="F30" s="23">
        <v>12</v>
      </c>
      <c r="G30" s="24">
        <f>90.764352*E30*F30</f>
        <v>1089.172224</v>
      </c>
      <c r="H30" s="24">
        <f t="shared" si="5"/>
        <v>0</v>
      </c>
      <c r="I30" s="24">
        <f t="shared" si="0"/>
        <v>0</v>
      </c>
      <c r="J30" s="24">
        <f>86.407663104*E30*F30</f>
        <v>1036.891957248</v>
      </c>
      <c r="K30" s="24">
        <f>18.60306158592*E30*F30</f>
        <v>223.23673903103997</v>
      </c>
      <c r="L30" s="24">
        <f>18.1528704*E30*F30</f>
        <v>217.83444480000003</v>
      </c>
      <c r="M30" s="150">
        <f t="shared" si="1"/>
        <v>2567.1353650790397</v>
      </c>
      <c r="N30" s="151">
        <f t="shared" si="2"/>
        <v>213.92794708991997</v>
      </c>
      <c r="O30" s="151">
        <f t="shared" si="4"/>
        <v>0.023513733467786322</v>
      </c>
      <c r="P30" s="149" t="s">
        <v>263</v>
      </c>
    </row>
    <row r="31" spans="2:16" ht="30" customHeight="1" thickBot="1">
      <c r="B31" s="152"/>
      <c r="C31" s="22" t="s">
        <v>265</v>
      </c>
      <c r="D31" s="22" t="s">
        <v>39</v>
      </c>
      <c r="E31" s="23">
        <v>2</v>
      </c>
      <c r="F31" s="23">
        <v>12</v>
      </c>
      <c r="G31" s="24">
        <f>152.59188*E31*F31</f>
        <v>3662.20512</v>
      </c>
      <c r="H31" s="24">
        <f t="shared" si="5"/>
        <v>0</v>
      </c>
      <c r="I31" s="24">
        <f t="shared" si="0"/>
        <v>0</v>
      </c>
      <c r="J31" s="24">
        <f>145.26746976*E31*F31</f>
        <v>3486.41927424</v>
      </c>
      <c r="K31" s="24">
        <f>31.2752317248*E31*F31</f>
        <v>750.6055613952001</v>
      </c>
      <c r="L31" s="24">
        <f>30.518376*E31*F31</f>
        <v>732.441024</v>
      </c>
      <c r="M31" s="150">
        <f t="shared" si="1"/>
        <v>8631.6709796352</v>
      </c>
      <c r="N31" s="151">
        <f t="shared" si="2"/>
        <v>719.3059149696</v>
      </c>
      <c r="O31" s="151">
        <f t="shared" si="4"/>
        <v>0.07906198230046164</v>
      </c>
      <c r="P31" s="149" t="s">
        <v>263</v>
      </c>
    </row>
    <row r="32" spans="2:16" ht="24" customHeight="1">
      <c r="B32" s="124">
        <v>26</v>
      </c>
      <c r="C32" s="59" t="s">
        <v>209</v>
      </c>
      <c r="D32" s="22" t="s">
        <v>43</v>
      </c>
      <c r="E32" s="23">
        <v>2</v>
      </c>
      <c r="F32" s="23">
        <v>12</v>
      </c>
      <c r="G32" s="24">
        <f>233.45952*E32*F32</f>
        <v>5603.02848</v>
      </c>
      <c r="H32" s="24">
        <f t="shared" si="5"/>
        <v>0</v>
      </c>
      <c r="I32" s="24">
        <f t="shared" si="0"/>
        <v>0</v>
      </c>
      <c r="J32" s="24">
        <f>222.25346304*E32*F32</f>
        <v>5334.08311296</v>
      </c>
      <c r="K32" s="24">
        <f>47.8498632192*E32*F32</f>
        <v>1148.3967172608</v>
      </c>
      <c r="L32" s="24">
        <f>46.691904*E32*F32</f>
        <v>1120.605696</v>
      </c>
      <c r="M32" s="92">
        <f t="shared" si="1"/>
        <v>13206.114006220801</v>
      </c>
      <c r="N32" s="123">
        <f t="shared" si="2"/>
        <v>1100.5095005184</v>
      </c>
      <c r="O32" s="56">
        <f t="shared" si="4"/>
        <v>0.12096169493497473</v>
      </c>
      <c r="P32" s="73" t="s">
        <v>208</v>
      </c>
    </row>
    <row r="33" spans="2:16" ht="51.75" customHeight="1" thickBot="1">
      <c r="B33" s="91">
        <v>27</v>
      </c>
      <c r="C33" s="94" t="s">
        <v>46</v>
      </c>
      <c r="D33" s="95" t="s">
        <v>47</v>
      </c>
      <c r="E33" s="96">
        <v>9.098</v>
      </c>
      <c r="F33" s="96">
        <v>10</v>
      </c>
      <c r="G33" s="97">
        <f>1011.338272*E33*F33</f>
        <v>92011.55598656</v>
      </c>
      <c r="H33" s="97">
        <f t="shared" si="5"/>
        <v>0</v>
      </c>
      <c r="I33" s="97">
        <f t="shared" si="0"/>
        <v>0</v>
      </c>
      <c r="J33" s="97">
        <f>962.794034944*E33*F33</f>
        <v>87595.00129920512</v>
      </c>
      <c r="K33" s="97">
        <f>207.28389222912*E33*F33</f>
        <v>18858.68851500534</v>
      </c>
      <c r="L33" s="97">
        <f>202.2676544*E33*F33</f>
        <v>18402.311197312003</v>
      </c>
      <c r="M33" s="98">
        <f t="shared" si="1"/>
        <v>216867.55699808247</v>
      </c>
      <c r="N33" s="135">
        <f t="shared" si="2"/>
        <v>18072.296416506873</v>
      </c>
      <c r="O33" s="75">
        <f t="shared" si="4"/>
        <v>1.9864032113109336</v>
      </c>
      <c r="P33" s="149" t="s">
        <v>260</v>
      </c>
    </row>
    <row r="34" spans="2:16" ht="13.5" thickBot="1">
      <c r="B34" s="168" t="s">
        <v>48</v>
      </c>
      <c r="C34" s="169"/>
      <c r="D34" s="169"/>
      <c r="E34" s="169"/>
      <c r="F34" s="170"/>
      <c r="G34" s="79">
        <f aca="true" t="shared" si="6" ref="G34:M34">SUM(G5:G33)</f>
        <v>169499.3502157291</v>
      </c>
      <c r="H34" s="80">
        <f t="shared" si="6"/>
        <v>28483.890460452</v>
      </c>
      <c r="I34" s="80">
        <f t="shared" si="6"/>
        <v>0</v>
      </c>
      <c r="J34" s="80">
        <f t="shared" si="6"/>
        <v>161363.38140537412</v>
      </c>
      <c r="K34" s="80">
        <f t="shared" si="6"/>
        <v>37731.3953185633</v>
      </c>
      <c r="L34" s="81">
        <f t="shared" si="6"/>
        <v>33899.87004314583</v>
      </c>
      <c r="M34" s="82">
        <f t="shared" si="6"/>
        <v>430977.88744326436</v>
      </c>
      <c r="N34" s="67">
        <f>SUM(N5:N33)</f>
        <v>35914.82395360537</v>
      </c>
      <c r="O34" s="67">
        <f>SUM(O5:O33)</f>
        <v>3.947551544691731</v>
      </c>
      <c r="P34" s="68"/>
    </row>
    <row r="35" spans="2:16" ht="19.5" customHeight="1" thickBot="1">
      <c r="B35" s="171" t="s">
        <v>49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66"/>
      <c r="O35" s="166"/>
      <c r="P35" s="167"/>
    </row>
    <row r="36" spans="2:16" ht="40.5" customHeight="1" thickBot="1">
      <c r="B36" s="83">
        <v>28</v>
      </c>
      <c r="C36" s="84" t="s">
        <v>242</v>
      </c>
      <c r="D36" s="85" t="s">
        <v>50</v>
      </c>
      <c r="E36" s="86">
        <v>1.2982</v>
      </c>
      <c r="F36" s="86">
        <v>240</v>
      </c>
      <c r="G36" s="87">
        <f>120.9158496*E36*F36</f>
        <v>37673.5094281728</v>
      </c>
      <c r="H36" s="87">
        <f>3.00606964*E36*F36</f>
        <v>936.5951055955201</v>
      </c>
      <c r="I36" s="87">
        <f aca="true" t="shared" si="7" ref="I36:I51">0*E36*F36</f>
        <v>0</v>
      </c>
      <c r="J36" s="87">
        <f>115.1118888192*E36*F36</f>
        <v>35865.18097562051</v>
      </c>
      <c r="K36" s="87">
        <f>25.098549846216*E36*F36</f>
        <v>7819.904978485826</v>
      </c>
      <c r="L36" s="87">
        <f>24.18316992*E36*F36</f>
        <v>7534.70188563456</v>
      </c>
      <c r="M36" s="88">
        <f aca="true" t="shared" si="8" ref="M36:M64">SUM(G36:L36)</f>
        <v>89829.89237350921</v>
      </c>
      <c r="N36" s="69">
        <f aca="true" t="shared" si="9" ref="N36:N64">M36/12</f>
        <v>7485.824364459101</v>
      </c>
      <c r="O36" s="70">
        <f>N36/9098</f>
        <v>0.8227988969508795</v>
      </c>
      <c r="P36" s="122" t="s">
        <v>240</v>
      </c>
    </row>
    <row r="37" spans="2:16" s="45" customFormat="1" ht="45" customHeight="1" thickBot="1">
      <c r="B37" s="89">
        <v>29</v>
      </c>
      <c r="C37" s="84" t="s">
        <v>243</v>
      </c>
      <c r="D37" s="41" t="s">
        <v>51</v>
      </c>
      <c r="E37" s="42">
        <v>22.201</v>
      </c>
      <c r="F37" s="42">
        <v>96</v>
      </c>
      <c r="G37" s="43">
        <f>105.5841696*E37*F37</f>
        <v>225031.1183318016</v>
      </c>
      <c r="H37" s="43">
        <f>2.91582536*E37*F37</f>
        <v>6214.486926466559</v>
      </c>
      <c r="I37" s="43">
        <f t="shared" si="7"/>
        <v>0</v>
      </c>
      <c r="J37" s="43">
        <f>100.5161294592*E37*F37</f>
        <v>214229.6246518751</v>
      </c>
      <c r="K37" s="43">
        <f>21.946693064016*E37*F37</f>
        <v>46774.899140565045</v>
      </c>
      <c r="L37" s="43">
        <f>21.11683392*E37*F37</f>
        <v>45006.223666360325</v>
      </c>
      <c r="M37" s="90">
        <f t="shared" si="8"/>
        <v>537256.3527170687</v>
      </c>
      <c r="N37" s="72">
        <f t="shared" si="9"/>
        <v>44771.3627264224</v>
      </c>
      <c r="O37" s="56">
        <f aca="true" t="shared" si="10" ref="O37:O64">N37/9098</f>
        <v>4.92101151092794</v>
      </c>
      <c r="P37" s="122" t="s">
        <v>257</v>
      </c>
    </row>
    <row r="38" spans="2:16" ht="39" customHeight="1">
      <c r="B38" s="83">
        <v>30</v>
      </c>
      <c r="C38" s="59" t="s">
        <v>52</v>
      </c>
      <c r="D38" s="22" t="s">
        <v>53</v>
      </c>
      <c r="E38" s="23">
        <v>0.132</v>
      </c>
      <c r="F38" s="23">
        <v>240</v>
      </c>
      <c r="G38" s="24">
        <f>102.2112*E38*F38</f>
        <v>3238.0508160000004</v>
      </c>
      <c r="H38" s="24">
        <f>2.9151423*E38*F38</f>
        <v>92.351708064</v>
      </c>
      <c r="I38" s="24">
        <f t="shared" si="7"/>
        <v>0</v>
      </c>
      <c r="J38" s="24">
        <f>97.3050624*E38*F38</f>
        <v>3082.624376832</v>
      </c>
      <c r="K38" s="24">
        <f>21.2552974935*E38*F38</f>
        <v>673.36782459408</v>
      </c>
      <c r="L38" s="24">
        <f>20.44224*E38*F38</f>
        <v>647.6101632000001</v>
      </c>
      <c r="M38" s="92">
        <f t="shared" si="8"/>
        <v>7734.00488869008</v>
      </c>
      <c r="N38" s="72">
        <f t="shared" si="9"/>
        <v>644.50040739084</v>
      </c>
      <c r="O38" s="56">
        <f t="shared" si="10"/>
        <v>0.07083978977696637</v>
      </c>
      <c r="P38" s="122" t="s">
        <v>240</v>
      </c>
    </row>
    <row r="39" spans="2:16" ht="27" customHeight="1" thickBot="1">
      <c r="B39" s="89">
        <v>31</v>
      </c>
      <c r="C39" s="59" t="s">
        <v>54</v>
      </c>
      <c r="D39" s="22" t="s">
        <v>55</v>
      </c>
      <c r="E39" s="23">
        <v>6.38</v>
      </c>
      <c r="F39" s="23">
        <v>2</v>
      </c>
      <c r="G39" s="24">
        <f>91.99008*E39*F39</f>
        <v>1173.7934208000001</v>
      </c>
      <c r="H39" s="24">
        <f>1.71732730694*E39*F39</f>
        <v>21.913096436554397</v>
      </c>
      <c r="I39" s="24">
        <f t="shared" si="7"/>
        <v>0</v>
      </c>
      <c r="J39" s="24">
        <f>87.57455616*E39*F39</f>
        <v>1117.4513366016</v>
      </c>
      <c r="K39" s="24">
        <f>19.034606164029*E39*F39</f>
        <v>242.88157465301003</v>
      </c>
      <c r="L39" s="24">
        <f>18.398016*E39*F39</f>
        <v>234.75868415999997</v>
      </c>
      <c r="M39" s="92">
        <f t="shared" si="8"/>
        <v>2790.7981126511645</v>
      </c>
      <c r="N39" s="72">
        <f t="shared" si="9"/>
        <v>232.56650938759705</v>
      </c>
      <c r="O39" s="56">
        <f t="shared" si="10"/>
        <v>0.025562377378280616</v>
      </c>
      <c r="P39" s="122" t="s">
        <v>258</v>
      </c>
    </row>
    <row r="40" spans="2:16" ht="27" customHeight="1">
      <c r="B40" s="83">
        <v>32</v>
      </c>
      <c r="C40" s="22" t="s">
        <v>261</v>
      </c>
      <c r="D40" s="22" t="s">
        <v>262</v>
      </c>
      <c r="E40" s="23">
        <v>24.747</v>
      </c>
      <c r="F40" s="23">
        <v>2</v>
      </c>
      <c r="G40" s="24">
        <f>107.32176*E40*F40</f>
        <v>5311.78318944</v>
      </c>
      <c r="H40" s="24">
        <f>2.7783*E40*F40</f>
        <v>137.5091802</v>
      </c>
      <c r="I40" s="24">
        <f t="shared" si="7"/>
        <v>0</v>
      </c>
      <c r="J40" s="24">
        <f>102.17031552*E40*F40</f>
        <v>5056.81759634688</v>
      </c>
      <c r="K40" s="24">
        <f>22.2883894296*E40*F40</f>
        <v>1103.1415464286224</v>
      </c>
      <c r="L40" s="24">
        <f>21.464352*E40*F40</f>
        <v>1062.356637888</v>
      </c>
      <c r="M40" s="150">
        <f t="shared" si="8"/>
        <v>12671.608150303502</v>
      </c>
      <c r="N40" s="151">
        <f t="shared" si="9"/>
        <v>1055.967345858625</v>
      </c>
      <c r="O40" s="151">
        <f t="shared" si="10"/>
        <v>0.11606587666065345</v>
      </c>
      <c r="P40" s="122" t="s">
        <v>258</v>
      </c>
    </row>
    <row r="41" spans="2:16" ht="13.5" thickBot="1">
      <c r="B41" s="89">
        <v>33</v>
      </c>
      <c r="C41" s="59" t="s">
        <v>56</v>
      </c>
      <c r="D41" s="22" t="s">
        <v>57</v>
      </c>
      <c r="E41" s="23">
        <v>0.503</v>
      </c>
      <c r="F41" s="23">
        <v>12</v>
      </c>
      <c r="G41" s="24">
        <f>231.6787203407*E41*F41</f>
        <v>1398.4127559764652</v>
      </c>
      <c r="H41" s="24">
        <f>20.828425672516*E41*F41</f>
        <v>125.72037735930658</v>
      </c>
      <c r="I41" s="24">
        <f t="shared" si="7"/>
        <v>0</v>
      </c>
      <c r="J41" s="24">
        <f>220.55814176435*E41*F41</f>
        <v>1331.2889436896166</v>
      </c>
      <c r="K41" s="24">
        <f>49.671855216645*E41*F41</f>
        <v>299.8193180876692</v>
      </c>
      <c r="L41" s="24">
        <f>46.335744068141*E41*F41</f>
        <v>279.6825511952991</v>
      </c>
      <c r="M41" s="92">
        <f t="shared" si="8"/>
        <v>3434.923946308357</v>
      </c>
      <c r="N41" s="72">
        <f t="shared" si="9"/>
        <v>286.24366219236305</v>
      </c>
      <c r="O41" s="56">
        <f t="shared" si="10"/>
        <v>0.0314622622765842</v>
      </c>
      <c r="P41" s="73" t="s">
        <v>208</v>
      </c>
    </row>
    <row r="42" spans="2:16" ht="12.75">
      <c r="B42" s="83">
        <v>34</v>
      </c>
      <c r="C42" s="59" t="s">
        <v>58</v>
      </c>
      <c r="D42" s="22" t="s">
        <v>59</v>
      </c>
      <c r="E42" s="23">
        <v>2.4323</v>
      </c>
      <c r="F42" s="23">
        <v>2</v>
      </c>
      <c r="G42" s="24">
        <f>233.3822396593*E42*F42</f>
        <v>1135.3112430466308</v>
      </c>
      <c r="H42" s="24">
        <f>15.220283573488*E42*F42</f>
        <v>74.04059147158974</v>
      </c>
      <c r="I42" s="24">
        <f t="shared" si="7"/>
        <v>0</v>
      </c>
      <c r="J42" s="24">
        <f>222.17989215565*E42*F42</f>
        <v>1080.816303380375</v>
      </c>
      <c r="K42" s="24">
        <f>49.432153615786*E42*F42</f>
        <v>240.46765447935257</v>
      </c>
      <c r="L42" s="24">
        <f>46.676447931859*E42*F42</f>
        <v>227.0622486093213</v>
      </c>
      <c r="M42" s="92">
        <f t="shared" si="8"/>
        <v>2757.6980409872695</v>
      </c>
      <c r="N42" s="72">
        <f t="shared" si="9"/>
        <v>229.80817008227245</v>
      </c>
      <c r="O42" s="56">
        <f t="shared" si="10"/>
        <v>0.025259196535752083</v>
      </c>
      <c r="P42" s="122" t="s">
        <v>258</v>
      </c>
    </row>
    <row r="43" spans="2:16" ht="25.5" customHeight="1" thickBot="1">
      <c r="B43" s="89">
        <v>35</v>
      </c>
      <c r="C43" s="59" t="s">
        <v>60</v>
      </c>
      <c r="D43" s="22" t="s">
        <v>61</v>
      </c>
      <c r="E43" s="23">
        <v>1.7989</v>
      </c>
      <c r="F43" s="23">
        <v>2</v>
      </c>
      <c r="G43" s="24">
        <f>342.40752*E43*F43</f>
        <v>1231.913775456</v>
      </c>
      <c r="H43" s="24">
        <f>29.762271482048*E43*F43</f>
        <v>107.07870033811228</v>
      </c>
      <c r="I43" s="24">
        <f t="shared" si="7"/>
        <v>0</v>
      </c>
      <c r="J43" s="24">
        <f>325.97195904*E43*F43</f>
        <v>1172.781914234112</v>
      </c>
      <c r="K43" s="24">
        <f>73.304883804815*E43*F43</f>
        <v>263.73631095296344</v>
      </c>
      <c r="L43" s="24">
        <f>68.481504*E43*F43</f>
        <v>246.38275509119998</v>
      </c>
      <c r="M43" s="92">
        <f t="shared" si="8"/>
        <v>3021.8934560723874</v>
      </c>
      <c r="N43" s="72">
        <f t="shared" si="9"/>
        <v>251.82445467269895</v>
      </c>
      <c r="O43" s="56">
        <f t="shared" si="10"/>
        <v>0.027679100315750597</v>
      </c>
      <c r="P43" s="122" t="s">
        <v>258</v>
      </c>
    </row>
    <row r="44" spans="2:16" ht="13.5" customHeight="1">
      <c r="B44" s="83">
        <v>36</v>
      </c>
      <c r="C44" s="59" t="s">
        <v>62</v>
      </c>
      <c r="D44" s="22" t="s">
        <v>63</v>
      </c>
      <c r="E44" s="23">
        <v>13.844</v>
      </c>
      <c r="F44" s="23">
        <v>2</v>
      </c>
      <c r="G44" s="24">
        <f>39.180959659296*E44*F44</f>
        <v>1084.8424110465876</v>
      </c>
      <c r="H44" s="24">
        <f>0.216751376128*E44*F44</f>
        <v>6.001412102232064</v>
      </c>
      <c r="I44" s="24">
        <f t="shared" si="7"/>
        <v>0</v>
      </c>
      <c r="J44" s="24">
        <f>37.30027359565*E44*F44</f>
        <v>1032.769975316357</v>
      </c>
      <c r="K44" s="24">
        <f>8.0532883862628*E44*F44</f>
        <v>222.97944883884438</v>
      </c>
      <c r="L44" s="24">
        <f>7.8361919318592*E44*F44</f>
        <v>216.96848220931753</v>
      </c>
      <c r="M44" s="92">
        <f t="shared" si="8"/>
        <v>2563.561729513339</v>
      </c>
      <c r="N44" s="72">
        <f t="shared" si="9"/>
        <v>213.63014412611156</v>
      </c>
      <c r="O44" s="56">
        <f t="shared" si="10"/>
        <v>0.02348100067334706</v>
      </c>
      <c r="P44" s="122" t="s">
        <v>258</v>
      </c>
    </row>
    <row r="45" spans="2:16" ht="13.5" customHeight="1" thickBot="1">
      <c r="B45" s="89">
        <v>37</v>
      </c>
      <c r="C45" s="77" t="s">
        <v>238</v>
      </c>
      <c r="D45" s="41" t="s">
        <v>239</v>
      </c>
      <c r="E45" s="42">
        <v>0.2632</v>
      </c>
      <c r="F45" s="42">
        <v>2</v>
      </c>
      <c r="G45" s="43">
        <f>109.365984*E45*F45</f>
        <v>57.5702539776</v>
      </c>
      <c r="H45" s="43">
        <f>34.90858*E45*F45</f>
        <v>18.375876511999998</v>
      </c>
      <c r="I45" s="43">
        <f>0*E45*F45</f>
        <v>0</v>
      </c>
      <c r="J45" s="43">
        <f>104.116416768*E45*F45</f>
        <v>54.80688178667519</v>
      </c>
      <c r="K45" s="43">
        <f>26.08105298064*E45*F45</f>
        <v>13.729066289008895</v>
      </c>
      <c r="L45" s="43">
        <f>21.8731968*E45*F45</f>
        <v>11.51405079552</v>
      </c>
      <c r="M45" s="90">
        <f>SUM(G45:L45)</f>
        <v>155.99612936080408</v>
      </c>
      <c r="N45" s="72">
        <f>M45/12</f>
        <v>12.999677446733672</v>
      </c>
      <c r="O45" s="56">
        <f>N45/9098</f>
        <v>0.001428850016128124</v>
      </c>
      <c r="P45" s="122" t="s">
        <v>258</v>
      </c>
    </row>
    <row r="46" spans="2:16" s="45" customFormat="1" ht="12.75" customHeight="1">
      <c r="B46" s="83">
        <v>38</v>
      </c>
      <c r="C46" s="77" t="s">
        <v>197</v>
      </c>
      <c r="D46" s="41" t="s">
        <v>64</v>
      </c>
      <c r="E46" s="42">
        <v>0.5222</v>
      </c>
      <c r="F46" s="42">
        <v>2</v>
      </c>
      <c r="G46" s="43">
        <f>109.365984*E46*F46</f>
        <v>114.22183368959999</v>
      </c>
      <c r="H46" s="43">
        <f>34.90858*E46*F46</f>
        <v>36.458520952</v>
      </c>
      <c r="I46" s="43">
        <f t="shared" si="7"/>
        <v>0</v>
      </c>
      <c r="J46" s="43">
        <f>104.116416768*E46*F46</f>
        <v>108.73918567249919</v>
      </c>
      <c r="K46" s="43">
        <f>26.08105298064*E46*F46</f>
        <v>27.239051732980414</v>
      </c>
      <c r="L46" s="43">
        <f>21.8731968*E46*F46</f>
        <v>22.844366737919998</v>
      </c>
      <c r="M46" s="90">
        <f t="shared" si="8"/>
        <v>309.50295878499963</v>
      </c>
      <c r="N46" s="72">
        <f t="shared" si="9"/>
        <v>25.791913232083303</v>
      </c>
      <c r="O46" s="56">
        <f t="shared" si="10"/>
        <v>0.0028348992341265446</v>
      </c>
      <c r="P46" s="122" t="s">
        <v>258</v>
      </c>
    </row>
    <row r="47" spans="2:16" s="45" customFormat="1" ht="36.75" customHeight="1" thickBot="1">
      <c r="B47" s="89">
        <v>39</v>
      </c>
      <c r="C47" s="77" t="s">
        <v>198</v>
      </c>
      <c r="D47" s="41" t="s">
        <v>65</v>
      </c>
      <c r="E47" s="42">
        <v>0.3478</v>
      </c>
      <c r="F47" s="42">
        <v>2</v>
      </c>
      <c r="G47" s="43">
        <f>137.98512*E47*F47</f>
        <v>95.982449472</v>
      </c>
      <c r="H47" s="43">
        <f>34.90858*E47*F47</f>
        <v>24.282408248</v>
      </c>
      <c r="I47" s="43">
        <f t="shared" si="7"/>
        <v>0</v>
      </c>
      <c r="J47" s="43">
        <f>131.36183424*E47*F47</f>
        <v>91.375291897344</v>
      </c>
      <c r="K47" s="43">
        <f>31.9468310952*E47*F47</f>
        <v>22.22221570982112</v>
      </c>
      <c r="L47" s="43">
        <f>27.597024*E47*F47</f>
        <v>19.1964898944</v>
      </c>
      <c r="M47" s="90">
        <f t="shared" si="8"/>
        <v>253.0588552215651</v>
      </c>
      <c r="N47" s="72">
        <f t="shared" si="9"/>
        <v>21.088237935130426</v>
      </c>
      <c r="O47" s="56">
        <f t="shared" si="10"/>
        <v>0.002317898212258785</v>
      </c>
      <c r="P47" s="122" t="s">
        <v>258</v>
      </c>
    </row>
    <row r="48" spans="2:16" s="45" customFormat="1" ht="12.75">
      <c r="B48" s="83">
        <v>40</v>
      </c>
      <c r="C48" s="77" t="s">
        <v>199</v>
      </c>
      <c r="D48" s="41" t="s">
        <v>66</v>
      </c>
      <c r="E48" s="42">
        <v>0.1344</v>
      </c>
      <c r="F48" s="42">
        <v>12</v>
      </c>
      <c r="G48" s="43">
        <f>186.024384*E48*F48</f>
        <v>300.0201265152</v>
      </c>
      <c r="H48" s="43">
        <f>34.90858*E48*F48</f>
        <v>56.300557824</v>
      </c>
      <c r="I48" s="43">
        <f t="shared" si="7"/>
        <v>0</v>
      </c>
      <c r="J48" s="43">
        <f>177.095213568*E48*F48</f>
        <v>285.6191604424704</v>
      </c>
      <c r="K48" s="43">
        <f>41.79295864464*E48*F48</f>
        <v>67.4036837020754</v>
      </c>
      <c r="L48" s="43">
        <f>37.2048768*E48*F48</f>
        <v>60.004025303039995</v>
      </c>
      <c r="M48" s="90">
        <f t="shared" si="8"/>
        <v>769.3475537867857</v>
      </c>
      <c r="N48" s="72">
        <f t="shared" si="9"/>
        <v>64.1122961488988</v>
      </c>
      <c r="O48" s="56">
        <f t="shared" si="10"/>
        <v>0.007046856028676501</v>
      </c>
      <c r="P48" s="73" t="s">
        <v>208</v>
      </c>
    </row>
    <row r="49" spans="2:16" s="45" customFormat="1" ht="26.25" thickBot="1">
      <c r="B49" s="89">
        <v>41</v>
      </c>
      <c r="C49" s="77" t="s">
        <v>200</v>
      </c>
      <c r="D49" s="41" t="s">
        <v>67</v>
      </c>
      <c r="E49" s="42">
        <v>0.2324</v>
      </c>
      <c r="F49" s="42">
        <v>2</v>
      </c>
      <c r="G49" s="43">
        <f>291.30192*E49*F49</f>
        <v>135.397132416</v>
      </c>
      <c r="H49" s="43">
        <f>34.90858*E49*F49</f>
        <v>16.225507984</v>
      </c>
      <c r="I49" s="43">
        <f t="shared" si="7"/>
        <v>0</v>
      </c>
      <c r="J49" s="43">
        <f>277.31942784*E49*F49</f>
        <v>128.898070060032</v>
      </c>
      <c r="K49" s="43">
        <f>63.3706424232*E49*F49</f>
        <v>29.45467459830336</v>
      </c>
      <c r="L49" s="43">
        <f>58.260384*E49*F49</f>
        <v>27.0794264832</v>
      </c>
      <c r="M49" s="90">
        <f t="shared" si="8"/>
        <v>337.05481154153534</v>
      </c>
      <c r="N49" s="72">
        <f t="shared" si="9"/>
        <v>28.087900961794613</v>
      </c>
      <c r="O49" s="56">
        <f t="shared" si="10"/>
        <v>0.0030872610421845037</v>
      </c>
      <c r="P49" s="122" t="s">
        <v>258</v>
      </c>
    </row>
    <row r="50" spans="2:16" ht="24.75" customHeight="1">
      <c r="B50" s="83">
        <v>42</v>
      </c>
      <c r="C50" s="59" t="s">
        <v>68</v>
      </c>
      <c r="D50" s="22" t="s">
        <v>69</v>
      </c>
      <c r="E50" s="23">
        <v>2.24</v>
      </c>
      <c r="F50" s="23">
        <v>72</v>
      </c>
      <c r="G50" s="24">
        <f>157.3474*E50*F50</f>
        <v>25376.988672000003</v>
      </c>
      <c r="H50" s="24">
        <f>3.24319534*E50*F50</f>
        <v>523.0625444352002</v>
      </c>
      <c r="I50" s="24">
        <f t="shared" si="7"/>
        <v>0</v>
      </c>
      <c r="J50" s="24">
        <f>149.7947248*E50*F50</f>
        <v>24158.893215744003</v>
      </c>
      <c r="K50" s="24">
        <f>32.5904586147*E50*F50</f>
        <v>5256.189165378816</v>
      </c>
      <c r="L50" s="24">
        <f>31.46948*E50*F50</f>
        <v>5075.3977344</v>
      </c>
      <c r="M50" s="92">
        <f t="shared" si="8"/>
        <v>60390.53133195803</v>
      </c>
      <c r="N50" s="72">
        <f t="shared" si="9"/>
        <v>5032.544277663169</v>
      </c>
      <c r="O50" s="56">
        <f t="shared" si="10"/>
        <v>0.5531484147794207</v>
      </c>
      <c r="P50" s="73" t="s">
        <v>211</v>
      </c>
    </row>
    <row r="51" spans="2:16" ht="24.75" thickBot="1">
      <c r="B51" s="89">
        <v>43</v>
      </c>
      <c r="C51" s="59" t="s">
        <v>70</v>
      </c>
      <c r="D51" s="22" t="s">
        <v>71</v>
      </c>
      <c r="E51" s="23">
        <v>0.009</v>
      </c>
      <c r="F51" s="23">
        <v>72</v>
      </c>
      <c r="G51" s="24">
        <f>109923.6474*E51*F51</f>
        <v>71230.5235152</v>
      </c>
      <c r="H51" s="24">
        <f>705.73914432*E51*F51</f>
        <v>457.31896551935995</v>
      </c>
      <c r="I51" s="24">
        <f t="shared" si="7"/>
        <v>0</v>
      </c>
      <c r="J51" s="24">
        <f>104647.3123248*E51*F51</f>
        <v>67811.45838647039</v>
      </c>
      <c r="K51" s="24">
        <f>22604.053381258*E51*F51</f>
        <v>14647.426591055182</v>
      </c>
      <c r="L51" s="24">
        <f>21984.72948*E51*F51</f>
        <v>14246.104703039999</v>
      </c>
      <c r="M51" s="92">
        <f t="shared" si="8"/>
        <v>168392.83216128492</v>
      </c>
      <c r="N51" s="72">
        <f t="shared" si="9"/>
        <v>14032.73601344041</v>
      </c>
      <c r="O51" s="56">
        <f t="shared" si="10"/>
        <v>1.542397891123369</v>
      </c>
      <c r="P51" s="122" t="s">
        <v>259</v>
      </c>
    </row>
    <row r="52" spans="2:16" ht="24">
      <c r="B52" s="83">
        <v>44</v>
      </c>
      <c r="C52" s="59" t="s">
        <v>72</v>
      </c>
      <c r="D52" s="22" t="s">
        <v>73</v>
      </c>
      <c r="E52" s="23">
        <v>8.59</v>
      </c>
      <c r="F52" s="23">
        <v>10</v>
      </c>
      <c r="G52" s="24">
        <f>109.54048*E52*F52</f>
        <v>9409.527232</v>
      </c>
      <c r="H52" s="24">
        <f>80.55545904*E52*F52</f>
        <v>6919.713931536</v>
      </c>
      <c r="I52" s="24">
        <f>40.692*E52*F52</f>
        <v>3495.4428000000003</v>
      </c>
      <c r="J52" s="24">
        <f>104.28253696*E52*F52</f>
        <v>8957.869924864</v>
      </c>
      <c r="K52" s="24">
        <f>35.18239998*E52*F52</f>
        <v>3022.1681582819997</v>
      </c>
      <c r="L52" s="24">
        <f>21.908096*E52*F52</f>
        <v>1881.9054464</v>
      </c>
      <c r="M52" s="92">
        <f t="shared" si="8"/>
        <v>33686.627493082</v>
      </c>
      <c r="N52" s="72">
        <f t="shared" si="9"/>
        <v>2807.2189577568333</v>
      </c>
      <c r="O52" s="56">
        <f t="shared" si="10"/>
        <v>0.30855341369057304</v>
      </c>
      <c r="P52" s="122" t="s">
        <v>256</v>
      </c>
    </row>
    <row r="53" spans="2:16" ht="14.25" customHeight="1" thickBot="1">
      <c r="B53" s="89">
        <v>45</v>
      </c>
      <c r="C53" s="59" t="s">
        <v>74</v>
      </c>
      <c r="D53" s="22" t="s">
        <v>75</v>
      </c>
      <c r="E53" s="23">
        <v>0.05</v>
      </c>
      <c r="F53" s="23">
        <v>240</v>
      </c>
      <c r="G53" s="24">
        <f>749.049*E53*F53</f>
        <v>8988.588</v>
      </c>
      <c r="H53" s="24">
        <f>4.8048567*E53*F53</f>
        <v>57.6582804</v>
      </c>
      <c r="I53" s="24">
        <f aca="true" t="shared" si="11" ref="I53:I58">0*E53*F53</f>
        <v>0</v>
      </c>
      <c r="J53" s="24">
        <f>713.094648*E53*F53</f>
        <v>8557.135776</v>
      </c>
      <c r="K53" s="24">
        <f>154.0295929935*E53*F53</f>
        <v>1848.355115922</v>
      </c>
      <c r="L53" s="24">
        <f>149.8098*E53*F53</f>
        <v>1797.7176000000002</v>
      </c>
      <c r="M53" s="92">
        <f t="shared" si="8"/>
        <v>21249.454772322</v>
      </c>
      <c r="N53" s="72">
        <f t="shared" si="9"/>
        <v>1770.7878976934999</v>
      </c>
      <c r="O53" s="56">
        <f t="shared" si="10"/>
        <v>0.1946348535605078</v>
      </c>
      <c r="P53" s="122" t="s">
        <v>251</v>
      </c>
    </row>
    <row r="54" spans="2:16" ht="24">
      <c r="B54" s="83">
        <v>46</v>
      </c>
      <c r="C54" s="59" t="s">
        <v>76</v>
      </c>
      <c r="D54" s="22" t="s">
        <v>77</v>
      </c>
      <c r="E54" s="23">
        <v>0.83</v>
      </c>
      <c r="F54" s="23">
        <v>120</v>
      </c>
      <c r="G54" s="24">
        <f>204.4574*E54*F54</f>
        <v>20363.95704</v>
      </c>
      <c r="H54" s="24">
        <f>4.70463112*E54*F54</f>
        <v>468.581259552</v>
      </c>
      <c r="I54" s="24">
        <f t="shared" si="11"/>
        <v>0</v>
      </c>
      <c r="J54" s="24">
        <f>194.6434448*E54*F54</f>
        <v>19386.48710208</v>
      </c>
      <c r="K54" s="24">
        <f>42.3995749716*E54*F54</f>
        <v>4222.99766717136</v>
      </c>
      <c r="L54" s="24">
        <f>40.89148*E54*F54</f>
        <v>4072.791408</v>
      </c>
      <c r="M54" s="92">
        <f t="shared" si="8"/>
        <v>48514.81447680335</v>
      </c>
      <c r="N54" s="72">
        <f t="shared" si="9"/>
        <v>4042.9012064002795</v>
      </c>
      <c r="O54" s="56">
        <f t="shared" si="10"/>
        <v>0.4443725221367641</v>
      </c>
      <c r="P54" s="122" t="s">
        <v>252</v>
      </c>
    </row>
    <row r="55" spans="2:16" ht="30" customHeight="1" thickBot="1">
      <c r="B55" s="89">
        <v>47</v>
      </c>
      <c r="C55" s="59" t="s">
        <v>78</v>
      </c>
      <c r="D55" s="22" t="s">
        <v>79</v>
      </c>
      <c r="E55" s="23">
        <v>0.098</v>
      </c>
      <c r="F55" s="23">
        <v>72</v>
      </c>
      <c r="G55" s="24">
        <f>2512.8474*E55*F55</f>
        <v>17730.651254400003</v>
      </c>
      <c r="H55" s="24">
        <f>59.482472*E55*F55</f>
        <v>419.708322432</v>
      </c>
      <c r="I55" s="24">
        <f t="shared" si="11"/>
        <v>0</v>
      </c>
      <c r="J55" s="24">
        <f>2392.2307248*E55*F55</f>
        <v>16879.579994188804</v>
      </c>
      <c r="K55" s="24">
        <f>521.278862664*E55*F55</f>
        <v>3678.143654957184</v>
      </c>
      <c r="L55" s="24">
        <f>502.56948*E55*F55</f>
        <v>3546.1302508800004</v>
      </c>
      <c r="M55" s="92">
        <f t="shared" si="8"/>
        <v>42254.213476857985</v>
      </c>
      <c r="N55" s="72">
        <f t="shared" si="9"/>
        <v>3521.184456404832</v>
      </c>
      <c r="O55" s="56">
        <f t="shared" si="10"/>
        <v>0.38702840804625543</v>
      </c>
      <c r="P55" s="73" t="s">
        <v>229</v>
      </c>
    </row>
    <row r="56" spans="2:16" ht="36">
      <c r="B56" s="83">
        <v>48</v>
      </c>
      <c r="C56" s="59" t="s">
        <v>80</v>
      </c>
      <c r="D56" s="22" t="s">
        <v>79</v>
      </c>
      <c r="E56" s="23">
        <v>0.098</v>
      </c>
      <c r="F56" s="23">
        <v>25</v>
      </c>
      <c r="G56" s="24">
        <f>11149.0526*E56*F56</f>
        <v>27315.178870000007</v>
      </c>
      <c r="H56" s="24">
        <f>317.58272*E56*F56</f>
        <v>778.077664</v>
      </c>
      <c r="I56" s="24">
        <f t="shared" si="11"/>
        <v>0</v>
      </c>
      <c r="J56" s="24">
        <f>10613.8980752*E56*F56</f>
        <v>26004.050284240002</v>
      </c>
      <c r="K56" s="24">
        <f>2318.456006496*E56*F56</f>
        <v>5680.2172159152005</v>
      </c>
      <c r="L56" s="24">
        <f>2229.81052*E56*F56</f>
        <v>5463.035774</v>
      </c>
      <c r="M56" s="92">
        <f t="shared" si="8"/>
        <v>65240.559808155216</v>
      </c>
      <c r="N56" s="72">
        <f t="shared" si="9"/>
        <v>5436.713317346268</v>
      </c>
      <c r="O56" s="56">
        <f t="shared" si="10"/>
        <v>0.5975723584684841</v>
      </c>
      <c r="P56" s="122" t="s">
        <v>255</v>
      </c>
    </row>
    <row r="57" spans="2:16" ht="36.75" thickBot="1">
      <c r="B57" s="89">
        <v>49</v>
      </c>
      <c r="C57" s="59" t="s">
        <v>81</v>
      </c>
      <c r="D57" s="22" t="s">
        <v>82</v>
      </c>
      <c r="E57" s="23">
        <v>9.15</v>
      </c>
      <c r="F57" s="23">
        <v>20</v>
      </c>
      <c r="G57" s="24">
        <f>23.555*E57*F57</f>
        <v>4310.5650000000005</v>
      </c>
      <c r="H57" s="24">
        <f>559.498611*E57*F57</f>
        <v>102388.24581299999</v>
      </c>
      <c r="I57" s="24">
        <f t="shared" si="11"/>
        <v>0</v>
      </c>
      <c r="J57" s="24">
        <f>22.42436*E57*F57</f>
        <v>4103.65788</v>
      </c>
      <c r="K57" s="24">
        <f>63.575186955*E57*F57</f>
        <v>11634.259212765</v>
      </c>
      <c r="L57" s="24">
        <f>4.711*E57*F57</f>
        <v>862.113</v>
      </c>
      <c r="M57" s="92">
        <f t="shared" si="8"/>
        <v>123298.84090576498</v>
      </c>
      <c r="N57" s="72">
        <f t="shared" si="9"/>
        <v>10274.903408813749</v>
      </c>
      <c r="O57" s="56">
        <f t="shared" si="10"/>
        <v>1.1293584753587325</v>
      </c>
      <c r="P57" s="122" t="s">
        <v>250</v>
      </c>
    </row>
    <row r="58" spans="2:16" ht="23.25" customHeight="1">
      <c r="B58" s="83">
        <v>50</v>
      </c>
      <c r="C58" s="59" t="s">
        <v>83</v>
      </c>
      <c r="D58" s="22" t="s">
        <v>84</v>
      </c>
      <c r="E58" s="23">
        <v>6</v>
      </c>
      <c r="F58" s="23">
        <v>2</v>
      </c>
      <c r="G58" s="24">
        <f>99.8732*E58*F58</f>
        <v>1198.4784</v>
      </c>
      <c r="H58" s="24">
        <f>152.2822*E58*F58</f>
        <v>1827.3863999999999</v>
      </c>
      <c r="I58" s="24">
        <f t="shared" si="11"/>
        <v>0</v>
      </c>
      <c r="J58" s="24">
        <f>95.0792864*E58*F58</f>
        <v>1140.9514368</v>
      </c>
      <c r="K58" s="24">
        <f>36.459642072*E58*F58</f>
        <v>437.515704864</v>
      </c>
      <c r="L58" s="24">
        <f>19.97464*E58*F58</f>
        <v>239.69568</v>
      </c>
      <c r="M58" s="92">
        <f t="shared" si="8"/>
        <v>4844.0276216639995</v>
      </c>
      <c r="N58" s="72">
        <f t="shared" si="9"/>
        <v>403.66896847199996</v>
      </c>
      <c r="O58" s="56">
        <f t="shared" si="10"/>
        <v>0.044368978728511754</v>
      </c>
      <c r="P58" s="122" t="s">
        <v>254</v>
      </c>
    </row>
    <row r="59" spans="2:16" ht="46.5" customHeight="1" thickBot="1">
      <c r="B59" s="89">
        <v>51</v>
      </c>
      <c r="C59" s="59" t="s">
        <v>85</v>
      </c>
      <c r="D59" s="22" t="s">
        <v>86</v>
      </c>
      <c r="E59" s="23">
        <v>1.26</v>
      </c>
      <c r="F59" s="23">
        <v>8</v>
      </c>
      <c r="G59" s="24">
        <f>0*E59*F59</f>
        <v>0</v>
      </c>
      <c r="H59" s="24">
        <f>0*E59*F59</f>
        <v>0</v>
      </c>
      <c r="I59" s="24">
        <f>47.0404*E59*F59</f>
        <v>474.167232</v>
      </c>
      <c r="J59" s="24">
        <f>15.918110208*E59*F59</f>
        <v>160.45455089664</v>
      </c>
      <c r="K59" s="24">
        <f>6.61064357184*E59*F59</f>
        <v>66.6352872041472</v>
      </c>
      <c r="L59" s="24">
        <f>3.3441408*E59*F59</f>
        <v>33.708939264</v>
      </c>
      <c r="M59" s="92">
        <f t="shared" si="8"/>
        <v>734.9660093647873</v>
      </c>
      <c r="N59" s="72">
        <f t="shared" si="9"/>
        <v>61.24716744706561</v>
      </c>
      <c r="O59" s="56">
        <f t="shared" si="10"/>
        <v>0.006731937507921038</v>
      </c>
      <c r="P59" s="122" t="s">
        <v>253</v>
      </c>
    </row>
    <row r="60" spans="2:16" ht="24.75" customHeight="1">
      <c r="B60" s="83">
        <v>52</v>
      </c>
      <c r="C60" s="59" t="s">
        <v>87</v>
      </c>
      <c r="D60" s="22" t="s">
        <v>88</v>
      </c>
      <c r="E60" s="23">
        <v>0.6</v>
      </c>
      <c r="F60" s="23">
        <v>240</v>
      </c>
      <c r="G60" s="24">
        <f>130.0236*E60*F60</f>
        <v>18723.3984</v>
      </c>
      <c r="H60" s="24">
        <f>0.59482472*E60*F60</f>
        <v>85.65475968</v>
      </c>
      <c r="I60" s="24">
        <f>0*E60*F60</f>
        <v>0</v>
      </c>
      <c r="J60" s="24">
        <f>123.7824672*E60*F60</f>
        <v>17824.6752768</v>
      </c>
      <c r="K60" s="24">
        <f>26.7120936516*E60*F60</f>
        <v>3846.5414858304</v>
      </c>
      <c r="L60" s="24">
        <f>26.00472*E60*F60</f>
        <v>3744.6796799999997</v>
      </c>
      <c r="M60" s="92">
        <f t="shared" si="8"/>
        <v>44224.9496023104</v>
      </c>
      <c r="N60" s="72">
        <f t="shared" si="9"/>
        <v>3685.4124668592</v>
      </c>
      <c r="O60" s="56">
        <f t="shared" si="10"/>
        <v>0.4050794094151682</v>
      </c>
      <c r="P60" s="122" t="s">
        <v>251</v>
      </c>
    </row>
    <row r="61" spans="2:16" ht="25.5" customHeight="1" thickBot="1">
      <c r="B61" s="89">
        <v>53</v>
      </c>
      <c r="C61" s="59" t="s">
        <v>89</v>
      </c>
      <c r="D61" s="22" t="s">
        <v>88</v>
      </c>
      <c r="E61" s="23">
        <v>0.6</v>
      </c>
      <c r="F61" s="23">
        <v>240</v>
      </c>
      <c r="G61" s="24">
        <f>24.0261*E61*F61</f>
        <v>3459.7583999999997</v>
      </c>
      <c r="H61" s="24">
        <f>0.292287156*E61*F61</f>
        <v>42.08935046399999</v>
      </c>
      <c r="I61" s="24">
        <f>0*E61*F61</f>
        <v>0</v>
      </c>
      <c r="J61" s="24">
        <f>22.8728472*E61*F61</f>
        <v>3293.6899968</v>
      </c>
      <c r="K61" s="24">
        <f>4.95507960738*E61*F61</f>
        <v>713.5314634627199</v>
      </c>
      <c r="L61" s="24">
        <f>4.80522*E61*F61</f>
        <v>691.95168</v>
      </c>
      <c r="M61" s="92">
        <f t="shared" si="8"/>
        <v>8201.020890726719</v>
      </c>
      <c r="N61" s="72">
        <f t="shared" si="9"/>
        <v>683.4184075605599</v>
      </c>
      <c r="O61" s="56">
        <f t="shared" si="10"/>
        <v>0.07511743323373928</v>
      </c>
      <c r="P61" s="122" t="s">
        <v>251</v>
      </c>
    </row>
    <row r="62" spans="2:16" ht="24">
      <c r="B62" s="83">
        <v>54</v>
      </c>
      <c r="C62" s="59" t="s">
        <v>90</v>
      </c>
      <c r="D62" s="22" t="s">
        <v>88</v>
      </c>
      <c r="E62" s="23">
        <v>0.08</v>
      </c>
      <c r="F62" s="23">
        <v>72</v>
      </c>
      <c r="G62" s="24">
        <f>565.32*E62*F62</f>
        <v>3256.2432000000003</v>
      </c>
      <c r="H62" s="24">
        <f>1.31878796*E62*F62</f>
        <v>7.596218649600001</v>
      </c>
      <c r="I62" s="24">
        <f>0*E62*F62</f>
        <v>0</v>
      </c>
      <c r="J62" s="24">
        <f>538.18464*E62*F62</f>
        <v>3099.9435264</v>
      </c>
      <c r="K62" s="24">
        <f>116.0064599358*E62*F62</f>
        <v>668.1972092302079</v>
      </c>
      <c r="L62" s="24">
        <f>113.064*E62*F62</f>
        <v>651.2486399999999</v>
      </c>
      <c r="M62" s="92">
        <f t="shared" si="8"/>
        <v>7683.2287942798075</v>
      </c>
      <c r="N62" s="72">
        <f t="shared" si="9"/>
        <v>640.269066189984</v>
      </c>
      <c r="O62" s="56">
        <f t="shared" si="10"/>
        <v>0.07037470501098966</v>
      </c>
      <c r="P62" s="73" t="s">
        <v>231</v>
      </c>
    </row>
    <row r="63" spans="2:16" ht="24.75" thickBot="1">
      <c r="B63" s="89">
        <v>55</v>
      </c>
      <c r="C63" s="59" t="s">
        <v>91</v>
      </c>
      <c r="D63" s="22" t="s">
        <v>73</v>
      </c>
      <c r="E63" s="23">
        <v>0.08</v>
      </c>
      <c r="F63" s="23">
        <v>72</v>
      </c>
      <c r="G63" s="24">
        <f>228.9546*E63*F63</f>
        <v>1318.7784960000001</v>
      </c>
      <c r="H63" s="24">
        <f>1.28129512*E63*F63</f>
        <v>7.380259891200001</v>
      </c>
      <c r="I63" s="24">
        <f>0*E63*F63</f>
        <v>0</v>
      </c>
      <c r="J63" s="24">
        <f>217.9647792*E63*F63</f>
        <v>1255.4771281920002</v>
      </c>
      <c r="K63" s="24">
        <f>47.0610708036*E63*F63</f>
        <v>271.07176782873603</v>
      </c>
      <c r="L63" s="24">
        <f>45.79092*E63*F63</f>
        <v>263.7556992</v>
      </c>
      <c r="M63" s="92">
        <f t="shared" si="8"/>
        <v>3116.4633511119364</v>
      </c>
      <c r="N63" s="72">
        <f t="shared" si="9"/>
        <v>259.70527925932805</v>
      </c>
      <c r="O63" s="56">
        <f t="shared" si="10"/>
        <v>0.028545315372535508</v>
      </c>
      <c r="P63" s="73" t="s">
        <v>232</v>
      </c>
    </row>
    <row r="64" spans="2:16" ht="13.5" thickBot="1">
      <c r="B64" s="83">
        <v>56</v>
      </c>
      <c r="C64" s="94" t="s">
        <v>92</v>
      </c>
      <c r="D64" s="95" t="s">
        <v>93</v>
      </c>
      <c r="E64" s="96">
        <v>0.08</v>
      </c>
      <c r="F64" s="96">
        <v>12</v>
      </c>
      <c r="G64" s="97">
        <f>7349.16*E64*F64</f>
        <v>7055.1936000000005</v>
      </c>
      <c r="H64" s="97">
        <f>5458.026839748*E64*F64</f>
        <v>5239.70576615808</v>
      </c>
      <c r="I64" s="97">
        <f>0*E64*F64</f>
        <v>0</v>
      </c>
      <c r="J64" s="97">
        <f>6996.40032*E64*F64</f>
        <v>6716.5443072</v>
      </c>
      <c r="K64" s="97">
        <f>2079.3766517735*E64*F64</f>
        <v>1996.20158570256</v>
      </c>
      <c r="L64" s="97">
        <f>1469.832*E64*F64</f>
        <v>1411.03872</v>
      </c>
      <c r="M64" s="98">
        <f t="shared" si="8"/>
        <v>22418.683979060643</v>
      </c>
      <c r="N64" s="74">
        <f t="shared" si="9"/>
        <v>1868.2236649217202</v>
      </c>
      <c r="O64" s="75">
        <f t="shared" si="10"/>
        <v>0.20534443448249287</v>
      </c>
      <c r="P64" s="76" t="s">
        <v>208</v>
      </c>
    </row>
    <row r="65" spans="2:16" ht="13.5" thickBot="1">
      <c r="B65" s="168" t="s">
        <v>48</v>
      </c>
      <c r="C65" s="169"/>
      <c r="D65" s="169"/>
      <c r="E65" s="169"/>
      <c r="F65" s="170"/>
      <c r="G65" s="79">
        <f aca="true" t="shared" si="12" ref="G65:M65">SUM(G36:G64)</f>
        <v>497719.75724741066</v>
      </c>
      <c r="H65" s="80">
        <f t="shared" si="12"/>
        <v>127089.5195052713</v>
      </c>
      <c r="I65" s="80">
        <f t="shared" si="12"/>
        <v>3969.6100320000005</v>
      </c>
      <c r="J65" s="80">
        <f t="shared" si="12"/>
        <v>473989.6634504314</v>
      </c>
      <c r="K65" s="80">
        <f t="shared" si="12"/>
        <v>115790.69777468708</v>
      </c>
      <c r="L65" s="81">
        <f t="shared" si="12"/>
        <v>99577.66038874612</v>
      </c>
      <c r="M65" s="82">
        <f t="shared" si="12"/>
        <v>1318136.9083985465</v>
      </c>
      <c r="N65" s="67">
        <f>SUM(N36:N64)</f>
        <v>109844.74236654556</v>
      </c>
      <c r="O65" s="67">
        <f>SUM(O36:O64)</f>
        <v>12.073504326944992</v>
      </c>
      <c r="P65" s="68"/>
    </row>
    <row r="66" spans="2:16" ht="15.75" customHeight="1" thickBot="1">
      <c r="B66" s="165" t="s">
        <v>175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7"/>
    </row>
    <row r="67" spans="2:16" ht="29.25" customHeight="1">
      <c r="B67" s="115">
        <v>57</v>
      </c>
      <c r="C67" s="85" t="s">
        <v>189</v>
      </c>
      <c r="D67" s="85"/>
      <c r="E67" s="85"/>
      <c r="F67" s="86">
        <v>365</v>
      </c>
      <c r="G67" s="116"/>
      <c r="H67" s="116"/>
      <c r="I67" s="116"/>
      <c r="J67" s="116"/>
      <c r="K67" s="116"/>
      <c r="L67" s="116"/>
      <c r="M67" s="88">
        <f aca="true" t="shared" si="13" ref="M67:M75">N67*12</f>
        <v>251213.97600000002</v>
      </c>
      <c r="N67" s="99">
        <f>O67*9098</f>
        <v>20934.498000000003</v>
      </c>
      <c r="O67" s="100">
        <v>2.301</v>
      </c>
      <c r="P67" s="71" t="s">
        <v>215</v>
      </c>
    </row>
    <row r="68" spans="2:16" ht="12" customHeight="1" thickBot="1">
      <c r="B68" s="117">
        <v>58</v>
      </c>
      <c r="C68" s="22" t="s">
        <v>190</v>
      </c>
      <c r="D68" s="22"/>
      <c r="E68" s="22"/>
      <c r="F68" s="23">
        <v>1</v>
      </c>
      <c r="G68" s="25"/>
      <c r="H68" s="25"/>
      <c r="I68" s="25"/>
      <c r="J68" s="25"/>
      <c r="K68" s="25"/>
      <c r="L68" s="25"/>
      <c r="M68" s="92">
        <f>N68*12</f>
        <v>144112.32</v>
      </c>
      <c r="N68" s="101">
        <f>O68*9098</f>
        <v>12009.36</v>
      </c>
      <c r="O68" s="57">
        <v>1.32</v>
      </c>
      <c r="P68" s="73" t="s">
        <v>216</v>
      </c>
    </row>
    <row r="69" spans="2:16" ht="24">
      <c r="B69" s="115">
        <v>59</v>
      </c>
      <c r="C69" s="22" t="s">
        <v>176</v>
      </c>
      <c r="D69" s="22"/>
      <c r="E69" s="22"/>
      <c r="F69" s="23">
        <v>365</v>
      </c>
      <c r="G69" s="25"/>
      <c r="H69" s="25"/>
      <c r="I69" s="25"/>
      <c r="J69" s="25"/>
      <c r="K69" s="25"/>
      <c r="L69" s="25"/>
      <c r="M69" s="92">
        <f t="shared" si="13"/>
        <v>270756.48</v>
      </c>
      <c r="N69" s="101">
        <f aca="true" t="shared" si="14" ref="N69:N75">O69*9098</f>
        <v>22563.04</v>
      </c>
      <c r="O69" s="57">
        <v>2.48</v>
      </c>
      <c r="P69" s="73" t="s">
        <v>217</v>
      </c>
    </row>
    <row r="70" spans="2:16" ht="13.5" thickBot="1">
      <c r="B70" s="117">
        <v>60</v>
      </c>
      <c r="C70" s="22" t="s">
        <v>177</v>
      </c>
      <c r="D70" s="22"/>
      <c r="E70" s="22"/>
      <c r="F70" s="23">
        <v>12</v>
      </c>
      <c r="G70" s="25"/>
      <c r="H70" s="25"/>
      <c r="I70" s="25"/>
      <c r="J70" s="25"/>
      <c r="K70" s="25"/>
      <c r="L70" s="25"/>
      <c r="M70" s="92">
        <f t="shared" si="13"/>
        <v>43670.4</v>
      </c>
      <c r="N70" s="101">
        <f>O70*9098</f>
        <v>3639.2000000000003</v>
      </c>
      <c r="O70" s="57">
        <v>0.4</v>
      </c>
      <c r="P70" s="73" t="s">
        <v>208</v>
      </c>
    </row>
    <row r="71" spans="2:16" s="45" customFormat="1" ht="12.75">
      <c r="B71" s="115">
        <v>61</v>
      </c>
      <c r="C71" s="41" t="s">
        <v>178</v>
      </c>
      <c r="D71" s="41"/>
      <c r="E71" s="41"/>
      <c r="F71" s="42">
        <v>12</v>
      </c>
      <c r="G71" s="44"/>
      <c r="H71" s="44"/>
      <c r="I71" s="44"/>
      <c r="J71" s="44"/>
      <c r="K71" s="44"/>
      <c r="L71" s="44"/>
      <c r="M71" s="90">
        <f>4000*12</f>
        <v>48000</v>
      </c>
      <c r="N71" s="101">
        <f>M71/12</f>
        <v>4000</v>
      </c>
      <c r="O71" s="57">
        <f>N71/9098</f>
        <v>0.43965706748735983</v>
      </c>
      <c r="P71" s="73" t="s">
        <v>226</v>
      </c>
    </row>
    <row r="72" spans="2:16" s="45" customFormat="1" ht="13.5" thickBot="1">
      <c r="B72" s="117">
        <v>62</v>
      </c>
      <c r="C72" s="41" t="s">
        <v>248</v>
      </c>
      <c r="D72" s="46"/>
      <c r="E72" s="46"/>
      <c r="F72" s="55">
        <v>12</v>
      </c>
      <c r="G72" s="47"/>
      <c r="H72" s="47"/>
      <c r="I72" s="47"/>
      <c r="J72" s="47"/>
      <c r="K72" s="47"/>
      <c r="L72" s="47"/>
      <c r="M72" s="118">
        <f t="shared" si="13"/>
        <v>38211.6</v>
      </c>
      <c r="N72" s="101">
        <f t="shared" si="14"/>
        <v>3184.2999999999997</v>
      </c>
      <c r="O72" s="58">
        <v>0.35</v>
      </c>
      <c r="P72" s="73" t="s">
        <v>226</v>
      </c>
    </row>
    <row r="73" spans="2:16" s="45" customFormat="1" ht="12.75">
      <c r="B73" s="115">
        <v>63</v>
      </c>
      <c r="C73" s="41" t="s">
        <v>191</v>
      </c>
      <c r="D73" s="46"/>
      <c r="E73" s="46"/>
      <c r="F73" s="46"/>
      <c r="G73" s="47"/>
      <c r="H73" s="47"/>
      <c r="I73" s="47"/>
      <c r="J73" s="47"/>
      <c r="K73" s="47"/>
      <c r="L73" s="47"/>
      <c r="M73" s="118">
        <f t="shared" si="13"/>
        <v>70964.4</v>
      </c>
      <c r="N73" s="101">
        <f t="shared" si="14"/>
        <v>5913.7</v>
      </c>
      <c r="O73" s="58">
        <v>0.65</v>
      </c>
      <c r="P73" s="73" t="s">
        <v>226</v>
      </c>
    </row>
    <row r="74" spans="2:16" s="45" customFormat="1" ht="36.75" thickBot="1">
      <c r="B74" s="117">
        <v>64</v>
      </c>
      <c r="C74" s="41" t="s">
        <v>227</v>
      </c>
      <c r="D74" s="46"/>
      <c r="E74" s="46"/>
      <c r="F74" s="55"/>
      <c r="G74" s="47"/>
      <c r="H74" s="47"/>
      <c r="I74" s="47"/>
      <c r="J74" s="47"/>
      <c r="K74" s="47"/>
      <c r="L74" s="47"/>
      <c r="M74" s="118">
        <f>N74*12</f>
        <v>6550.5599999999995</v>
      </c>
      <c r="N74" s="101">
        <f>O74*9098</f>
        <v>545.88</v>
      </c>
      <c r="O74" s="58">
        <v>0.06</v>
      </c>
      <c r="P74" s="102" t="s">
        <v>228</v>
      </c>
    </row>
    <row r="75" spans="2:16" s="45" customFormat="1" ht="30.75" customHeight="1" thickBot="1">
      <c r="B75" s="115">
        <v>65</v>
      </c>
      <c r="C75" s="119" t="s">
        <v>179</v>
      </c>
      <c r="D75" s="119"/>
      <c r="E75" s="119"/>
      <c r="F75" s="119"/>
      <c r="G75" s="120"/>
      <c r="H75" s="120"/>
      <c r="I75" s="120"/>
      <c r="J75" s="120"/>
      <c r="K75" s="120"/>
      <c r="L75" s="120"/>
      <c r="M75" s="121">
        <f t="shared" si="13"/>
        <v>6550.5599999999995</v>
      </c>
      <c r="N75" s="103">
        <f t="shared" si="14"/>
        <v>545.88</v>
      </c>
      <c r="O75" s="104">
        <v>0.06</v>
      </c>
      <c r="P75" s="76" t="s">
        <v>207</v>
      </c>
    </row>
    <row r="76" spans="2:16" s="45" customFormat="1" ht="13.5" customHeight="1" thickBot="1">
      <c r="B76" s="173" t="s">
        <v>48</v>
      </c>
      <c r="C76" s="174"/>
      <c r="D76" s="110"/>
      <c r="E76" s="110"/>
      <c r="F76" s="110"/>
      <c r="G76" s="111">
        <f aca="true" t="shared" si="15" ref="G76:L76">SUM(G67:G71)</f>
        <v>0</v>
      </c>
      <c r="H76" s="112">
        <f t="shared" si="15"/>
        <v>0</v>
      </c>
      <c r="I76" s="112">
        <f t="shared" si="15"/>
        <v>0</v>
      </c>
      <c r="J76" s="112">
        <f t="shared" si="15"/>
        <v>0</v>
      </c>
      <c r="K76" s="112">
        <f t="shared" si="15"/>
        <v>0</v>
      </c>
      <c r="L76" s="113">
        <f t="shared" si="15"/>
        <v>0</v>
      </c>
      <c r="M76" s="114">
        <f>SUM(M67:M75)</f>
        <v>880030.2960000002</v>
      </c>
      <c r="N76" s="67">
        <f>SUM(N67:N75)</f>
        <v>73335.85800000001</v>
      </c>
      <c r="O76" s="67">
        <f>SUM(O67:O75)</f>
        <v>8.060657067487362</v>
      </c>
      <c r="P76" s="68"/>
    </row>
    <row r="77" spans="2:16" ht="16.5" customHeight="1" thickBot="1" thickTop="1">
      <c r="B77" s="175" t="s">
        <v>94</v>
      </c>
      <c r="C77" s="176"/>
      <c r="D77" s="108"/>
      <c r="E77" s="108"/>
      <c r="F77" s="109"/>
      <c r="G77" s="26">
        <f aca="true" t="shared" si="16" ref="G77:O77">G34+G65+G76</f>
        <v>667219.1074631398</v>
      </c>
      <c r="H77" s="26">
        <f t="shared" si="16"/>
        <v>155573.4099657233</v>
      </c>
      <c r="I77" s="26">
        <f t="shared" si="16"/>
        <v>3969.6100320000005</v>
      </c>
      <c r="J77" s="26">
        <f t="shared" si="16"/>
        <v>635353.0448558056</v>
      </c>
      <c r="K77" s="26">
        <f t="shared" si="16"/>
        <v>153522.09309325038</v>
      </c>
      <c r="L77" s="26">
        <f t="shared" si="16"/>
        <v>133477.53043189197</v>
      </c>
      <c r="M77" s="107">
        <f t="shared" si="16"/>
        <v>2629145.091841811</v>
      </c>
      <c r="N77" s="106">
        <f t="shared" si="16"/>
        <v>219095.42432015092</v>
      </c>
      <c r="O77" s="105">
        <f t="shared" si="16"/>
        <v>24.081712939124085</v>
      </c>
      <c r="P77" s="68"/>
    </row>
    <row r="78" spans="2:16" ht="18.75" customHeight="1" thickTop="1">
      <c r="B78" s="27"/>
      <c r="C78" s="177" t="s">
        <v>233</v>
      </c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8"/>
    </row>
    <row r="79" spans="2:16" ht="18" customHeight="1">
      <c r="B79" s="179" t="s">
        <v>202</v>
      </c>
      <c r="C79" s="180"/>
      <c r="D79" s="22"/>
      <c r="E79" s="22"/>
      <c r="F79" s="22"/>
      <c r="G79" s="25"/>
      <c r="H79" s="25"/>
      <c r="I79" s="25"/>
      <c r="J79" s="25"/>
      <c r="K79" s="25"/>
      <c r="L79" s="25"/>
      <c r="M79" s="24"/>
      <c r="N79" s="48">
        <v>30</v>
      </c>
      <c r="O79" s="57"/>
      <c r="P79" s="181" t="s">
        <v>235</v>
      </c>
    </row>
    <row r="80" spans="2:16" ht="15.75" customHeight="1">
      <c r="B80" s="179" t="s">
        <v>201</v>
      </c>
      <c r="C80" s="180"/>
      <c r="D80" s="22"/>
      <c r="E80" s="22"/>
      <c r="F80" s="22"/>
      <c r="G80" s="25"/>
      <c r="H80" s="25"/>
      <c r="I80" s="25"/>
      <c r="J80" s="25"/>
      <c r="K80" s="25"/>
      <c r="L80" s="25"/>
      <c r="M80" s="24"/>
      <c r="N80" s="48">
        <v>30</v>
      </c>
      <c r="O80" s="57"/>
      <c r="P80" s="182"/>
    </row>
    <row r="81" spans="2:16" ht="12.75" customHeight="1">
      <c r="B81" s="179" t="s">
        <v>234</v>
      </c>
      <c r="C81" s="184"/>
      <c r="D81" s="180"/>
      <c r="E81" s="22"/>
      <c r="F81" s="22"/>
      <c r="G81" s="25"/>
      <c r="H81" s="25"/>
      <c r="I81" s="25"/>
      <c r="J81" s="25"/>
      <c r="K81" s="25"/>
      <c r="L81" s="25"/>
      <c r="M81" s="24"/>
      <c r="N81" s="48">
        <v>15</v>
      </c>
      <c r="O81" s="57"/>
      <c r="P81" s="183"/>
    </row>
    <row r="82" spans="2:15" ht="12.75">
      <c r="B82" s="49"/>
      <c r="C82" s="50"/>
      <c r="D82" s="50"/>
      <c r="E82" s="50"/>
      <c r="F82" s="50"/>
      <c r="G82" s="51"/>
      <c r="H82" s="51"/>
      <c r="I82" s="51"/>
      <c r="J82" s="51"/>
      <c r="K82" s="51"/>
      <c r="L82" s="51"/>
      <c r="M82" s="52"/>
      <c r="N82" s="54"/>
      <c r="O82" s="53"/>
    </row>
    <row r="83" spans="2:15" ht="12.75">
      <c r="B83" s="49"/>
      <c r="C83" s="50"/>
      <c r="D83" s="50"/>
      <c r="E83" s="50"/>
      <c r="F83" s="50"/>
      <c r="G83" s="51"/>
      <c r="H83" s="51"/>
      <c r="I83" s="51"/>
      <c r="J83" s="51"/>
      <c r="K83" s="51"/>
      <c r="L83" s="51"/>
      <c r="M83" s="52"/>
      <c r="N83" s="54"/>
      <c r="O83" s="53"/>
    </row>
    <row r="84" spans="3:13" ht="23.25" customHeight="1">
      <c r="C84" s="185" t="s">
        <v>95</v>
      </c>
      <c r="D84" s="185"/>
      <c r="E84" s="185"/>
      <c r="F84" s="185"/>
      <c r="G84" s="185"/>
      <c r="H84" s="185"/>
      <c r="I84" s="185"/>
      <c r="J84" s="185"/>
      <c r="K84" s="185"/>
      <c r="L84" s="185"/>
      <c r="M84" s="185"/>
    </row>
    <row r="85" spans="3:13" ht="24" customHeight="1">
      <c r="C85" s="186" t="s">
        <v>96</v>
      </c>
      <c r="D85" s="186"/>
      <c r="E85" s="187">
        <f>G77</f>
        <v>667219.1074631398</v>
      </c>
      <c r="F85" s="187"/>
      <c r="G85" s="186" t="s">
        <v>97</v>
      </c>
      <c r="H85" s="186"/>
      <c r="I85" s="186"/>
      <c r="J85" s="187">
        <f>J77</f>
        <v>635353.0448558056</v>
      </c>
      <c r="K85" s="187"/>
      <c r="M85" s="37"/>
    </row>
    <row r="86" spans="3:15" ht="24.75" customHeight="1">
      <c r="C86" s="186" t="s">
        <v>98</v>
      </c>
      <c r="D86" s="186"/>
      <c r="E86" s="187">
        <f>H77</f>
        <v>155573.4099657233</v>
      </c>
      <c r="F86" s="187"/>
      <c r="G86" s="186" t="s">
        <v>99</v>
      </c>
      <c r="H86" s="186"/>
      <c r="I86" s="186"/>
      <c r="J86" s="187">
        <f>K77</f>
        <v>153522.09309325038</v>
      </c>
      <c r="K86" s="187"/>
      <c r="M86" s="37"/>
      <c r="O86" s="37"/>
    </row>
    <row r="87" spans="3:11" ht="25.5" customHeight="1">
      <c r="C87" s="186" t="s">
        <v>100</v>
      </c>
      <c r="D87" s="186"/>
      <c r="E87" s="187">
        <f>I77</f>
        <v>3969.6100320000005</v>
      </c>
      <c r="F87" s="187"/>
      <c r="G87" s="186" t="s">
        <v>101</v>
      </c>
      <c r="H87" s="186"/>
      <c r="I87" s="186"/>
      <c r="J87" s="187">
        <f>L77</f>
        <v>133477.53043189197</v>
      </c>
      <c r="K87" s="187"/>
    </row>
    <row r="88" spans="3:13" ht="19.5" customHeight="1">
      <c r="C88" s="4"/>
      <c r="E88" s="5"/>
      <c r="G88" s="186" t="s">
        <v>102</v>
      </c>
      <c r="H88" s="186"/>
      <c r="I88" s="186"/>
      <c r="J88" s="187">
        <f>M77</f>
        <v>2629145.091841811</v>
      </c>
      <c r="K88" s="187"/>
      <c r="M88" s="37">
        <f>N77-N76</f>
        <v>145759.56632015092</v>
      </c>
    </row>
    <row r="89" ht="15" customHeight="1"/>
    <row r="90" ht="12" hidden="1">
      <c r="N90">
        <f>12000/9098</f>
        <v>1.3189712024620797</v>
      </c>
    </row>
    <row r="91" ht="12" hidden="1"/>
    <row r="92" spans="4:6" ht="12" hidden="1">
      <c r="D92">
        <f>1.1*30*2</f>
        <v>66</v>
      </c>
      <c r="E92">
        <f>8*3500</f>
        <v>28000</v>
      </c>
      <c r="F92">
        <f>N69+N70</f>
        <v>26202.24</v>
      </c>
    </row>
    <row r="93" spans="4:6" ht="12" hidden="1">
      <c r="D93">
        <f>D92*288.99</f>
        <v>19073.34</v>
      </c>
      <c r="F93">
        <f>F92+N64</f>
        <v>28070.46366492172</v>
      </c>
    </row>
    <row r="94" spans="4:5" ht="12" hidden="1">
      <c r="D94">
        <f>D93*0.18</f>
        <v>3433.2012</v>
      </c>
      <c r="E94">
        <f>3500/9098</f>
        <v>0.3846999340514399</v>
      </c>
    </row>
    <row r="95" ht="12" hidden="1">
      <c r="D95">
        <f>D93+D94</f>
        <v>22506.5412</v>
      </c>
    </row>
    <row r="96" spans="4:6" ht="12" hidden="1">
      <c r="D96">
        <f>D95/9098</f>
        <v>2.4737899758188613</v>
      </c>
      <c r="F96">
        <f>60*198</f>
        <v>11880</v>
      </c>
    </row>
    <row r="97" ht="12" hidden="1">
      <c r="F97">
        <f>F96/9098</f>
        <v>1.3057814904374587</v>
      </c>
    </row>
    <row r="98" ht="12" hidden="1">
      <c r="F98">
        <f>1.3*9098</f>
        <v>11827.4</v>
      </c>
    </row>
    <row r="99" ht="12" hidden="1"/>
    <row r="100" ht="12" hidden="1"/>
    <row r="101" spans="5:6" ht="12" hidden="1">
      <c r="E101">
        <f>1*9098</f>
        <v>9098</v>
      </c>
      <c r="F101">
        <v>0.65</v>
      </c>
    </row>
    <row r="102" spans="3:10" ht="12">
      <c r="C102" s="189" t="s">
        <v>192</v>
      </c>
      <c r="D102" s="189"/>
      <c r="E102" s="189"/>
      <c r="F102" s="189"/>
      <c r="G102" s="189"/>
      <c r="H102" s="189"/>
      <c r="I102" s="189"/>
      <c r="J102" s="189"/>
    </row>
    <row r="103" spans="3:10" ht="15" customHeight="1">
      <c r="C103" s="188" t="s">
        <v>96</v>
      </c>
      <c r="D103" s="188"/>
      <c r="E103" s="36">
        <f>E85/12</f>
        <v>55601.592288594984</v>
      </c>
      <c r="F103" s="36"/>
      <c r="G103" s="188" t="s">
        <v>97</v>
      </c>
      <c r="H103" s="188"/>
      <c r="I103" s="188"/>
      <c r="J103" s="36">
        <f>J85/12</f>
        <v>52946.08707131713</v>
      </c>
    </row>
    <row r="104" spans="3:10" ht="15" customHeight="1">
      <c r="C104" s="188" t="s">
        <v>98</v>
      </c>
      <c r="D104" s="188"/>
      <c r="E104" s="36">
        <f>E86/12</f>
        <v>12964.45083047694</v>
      </c>
      <c r="F104" s="36"/>
      <c r="G104" s="188" t="s">
        <v>99</v>
      </c>
      <c r="H104" s="188"/>
      <c r="I104" s="188"/>
      <c r="J104" s="36">
        <f>J86/12</f>
        <v>12793.507757770865</v>
      </c>
    </row>
    <row r="105" spans="3:10" ht="15" customHeight="1">
      <c r="C105" s="188" t="s">
        <v>100</v>
      </c>
      <c r="D105" s="188"/>
      <c r="E105" s="36">
        <f>E87/12</f>
        <v>330.80083600000006</v>
      </c>
      <c r="F105" s="36"/>
      <c r="G105" s="188" t="s">
        <v>101</v>
      </c>
      <c r="H105" s="188"/>
      <c r="I105" s="188"/>
      <c r="J105" s="36">
        <f>J87/12</f>
        <v>11123.127535990998</v>
      </c>
    </row>
    <row r="106" spans="3:11" ht="15">
      <c r="C106" s="36"/>
      <c r="D106" s="36"/>
      <c r="E106" s="36"/>
      <c r="F106" s="36"/>
      <c r="G106" s="188" t="s">
        <v>102</v>
      </c>
      <c r="H106" s="188"/>
      <c r="I106" s="188"/>
      <c r="J106" s="36">
        <f>J88/12</f>
        <v>219095.4243201509</v>
      </c>
      <c r="K106" s="40"/>
    </row>
    <row r="109" ht="12">
      <c r="H109">
        <f>15000+45000+20000+18000+40000</f>
        <v>138000</v>
      </c>
    </row>
    <row r="110" ht="12">
      <c r="H110">
        <f>H109*30.2%</f>
        <v>41676</v>
      </c>
    </row>
    <row r="111" spans="8:9" ht="12">
      <c r="H111">
        <f>H109+H110</f>
        <v>179676</v>
      </c>
      <c r="I111" s="37"/>
    </row>
  </sheetData>
  <sheetProtection formatCells="0" formatColumns="0" formatRows="0" insertColumns="0" insertRows="0" insertHyperlinks="0" deleteColumns="0" deleteRows="0" sort="0" autoFilter="0" pivotTables="0"/>
  <mergeCells count="37">
    <mergeCell ref="G106:I106"/>
    <mergeCell ref="C102:J102"/>
    <mergeCell ref="C103:D103"/>
    <mergeCell ref="G103:I103"/>
    <mergeCell ref="C104:D104"/>
    <mergeCell ref="G104:I104"/>
    <mergeCell ref="C105:D105"/>
    <mergeCell ref="G105:I105"/>
    <mergeCell ref="C87:D87"/>
    <mergeCell ref="E87:F87"/>
    <mergeCell ref="G87:I87"/>
    <mergeCell ref="J87:K87"/>
    <mergeCell ref="G88:I88"/>
    <mergeCell ref="J88:K88"/>
    <mergeCell ref="C84:M84"/>
    <mergeCell ref="C85:D85"/>
    <mergeCell ref="E85:F85"/>
    <mergeCell ref="G85:I85"/>
    <mergeCell ref="J85:K85"/>
    <mergeCell ref="C86:D86"/>
    <mergeCell ref="E86:F86"/>
    <mergeCell ref="G86:I86"/>
    <mergeCell ref="J86:K86"/>
    <mergeCell ref="B66:P66"/>
    <mergeCell ref="B76:C76"/>
    <mergeCell ref="B77:C77"/>
    <mergeCell ref="C78:P78"/>
    <mergeCell ref="B79:C79"/>
    <mergeCell ref="P79:P81"/>
    <mergeCell ref="B80:C80"/>
    <mergeCell ref="B81:D81"/>
    <mergeCell ref="B1:P1"/>
    <mergeCell ref="B2:O2"/>
    <mergeCell ref="B4:P4"/>
    <mergeCell ref="B34:F34"/>
    <mergeCell ref="B35:P35"/>
    <mergeCell ref="B65:F65"/>
  </mergeCells>
  <printOptions/>
  <pageMargins left="0.35" right="0.35" top="0.35" bottom="0.161875" header="0.3" footer="0.3"/>
  <pageSetup fitToHeight="0" fitToWidth="1" horizontalDpi="600" verticalDpi="600" orientation="landscape" paperSize="9" scale="73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8"/>
  <sheetViews>
    <sheetView tabSelected="1" view="pageLayout" zoomScaleNormal="75" workbookViewId="0" topLeftCell="D10">
      <selection activeCell="T8" sqref="T8"/>
    </sheetView>
  </sheetViews>
  <sheetFormatPr defaultColWidth="9.140625" defaultRowHeight="12"/>
  <cols>
    <col min="1" max="1" width="6.421875" style="0" customWidth="1"/>
    <col min="2" max="2" width="7.00390625" style="0" customWidth="1"/>
    <col min="3" max="3" width="78.57421875" style="0" customWidth="1"/>
    <col min="4" max="4" width="27.140625" style="0" customWidth="1"/>
    <col min="5" max="5" width="11.140625" style="0" customWidth="1"/>
    <col min="6" max="6" width="13.7109375" style="0" customWidth="1"/>
    <col min="7" max="7" width="14.140625" style="0" hidden="1" customWidth="1"/>
    <col min="8" max="8" width="14.28125" style="0" hidden="1" customWidth="1"/>
    <col min="9" max="9" width="14.140625" style="0" hidden="1" customWidth="1"/>
    <col min="10" max="10" width="14.00390625" style="0" hidden="1" customWidth="1"/>
    <col min="11" max="11" width="14.28125" style="0" hidden="1" customWidth="1"/>
    <col min="12" max="12" width="15.140625" style="0" hidden="1" customWidth="1"/>
    <col min="13" max="13" width="13.57421875" style="0" customWidth="1"/>
    <col min="14" max="14" width="12.421875" style="0" customWidth="1"/>
    <col min="15" max="15" width="11.00390625" style="0" customWidth="1"/>
    <col min="16" max="16" width="21.28125" style="0" customWidth="1"/>
    <col min="17" max="17" width="6.28125" style="0" customWidth="1"/>
    <col min="18" max="18" width="9.140625" style="0" hidden="1" customWidth="1"/>
    <col min="20" max="20" width="11.421875" style="0" bestFit="1" customWidth="1"/>
  </cols>
  <sheetData>
    <row r="1" spans="2:16" ht="26.25" customHeight="1">
      <c r="B1" s="190" t="s">
        <v>270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26.25" customHeight="1">
      <c r="B2" s="190" t="s">
        <v>271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8" ht="35.25" customHeight="1" thickBot="1">
      <c r="B3" s="164" t="s">
        <v>269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R3" s="21"/>
    </row>
    <row r="4" spans="2:16" ht="45.75" customHeight="1" thickBot="1" thickTop="1">
      <c r="B4" s="61" t="s">
        <v>0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3" t="s">
        <v>225</v>
      </c>
      <c r="N4" s="64" t="s">
        <v>173</v>
      </c>
      <c r="O4" s="65" t="s">
        <v>174</v>
      </c>
      <c r="P4" s="66" t="s">
        <v>204</v>
      </c>
    </row>
    <row r="5" spans="2:16" ht="24.75" customHeight="1" thickBot="1">
      <c r="B5" s="165" t="s">
        <v>12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</row>
    <row r="6" spans="2:20" ht="16.5" customHeight="1">
      <c r="B6" s="83">
        <v>1</v>
      </c>
      <c r="C6" s="84" t="s">
        <v>13</v>
      </c>
      <c r="D6" s="85" t="s">
        <v>14</v>
      </c>
      <c r="E6" s="86">
        <v>1</v>
      </c>
      <c r="F6" s="86">
        <v>2</v>
      </c>
      <c r="G6" s="87">
        <f>1128.9376*E6*F6</f>
        <v>2257.8752</v>
      </c>
      <c r="H6" s="87">
        <f>422.262792*E6*F6</f>
        <v>844.525584</v>
      </c>
      <c r="I6" s="87">
        <f aca="true" t="shared" si="0" ref="I6:I30">0*E6*F6</f>
        <v>0</v>
      </c>
      <c r="J6" s="87">
        <f>1074.7485952*E6*F6</f>
        <v>2149.4971904</v>
      </c>
      <c r="K6" s="87">
        <f>275.724643656*E6*F6</f>
        <v>551.449287312</v>
      </c>
      <c r="L6" s="87">
        <f>225.78752*E6*F6</f>
        <v>451.57504</v>
      </c>
      <c r="M6" s="88">
        <f aca="true" t="shared" si="1" ref="M6:M30">SUM(G6:L6)</f>
        <v>6254.922301711999</v>
      </c>
      <c r="N6" s="69">
        <f aca="true" t="shared" si="2" ref="N6:N30">M6/12</f>
        <v>521.2435251426666</v>
      </c>
      <c r="O6" s="70">
        <f>N6/9098</f>
        <v>0.05729209992774968</v>
      </c>
      <c r="P6" s="71" t="s">
        <v>205</v>
      </c>
      <c r="T6">
        <f>N12+N13+N14+N15+N16+N17</f>
        <v>4284.377119965324</v>
      </c>
    </row>
    <row r="7" spans="2:20" s="45" customFormat="1" ht="12.75">
      <c r="B7" s="89">
        <v>2</v>
      </c>
      <c r="C7" s="77" t="s">
        <v>15</v>
      </c>
      <c r="D7" s="41" t="s">
        <v>16</v>
      </c>
      <c r="E7" s="42">
        <v>14.961</v>
      </c>
      <c r="F7" s="42">
        <v>2</v>
      </c>
      <c r="G7" s="43">
        <f>43.59264*E7*F7</f>
        <v>1304.37897408</v>
      </c>
      <c r="H7" s="43">
        <f>0*E7*F7</f>
        <v>0</v>
      </c>
      <c r="I7" s="43">
        <f t="shared" si="0"/>
        <v>0</v>
      </c>
      <c r="J7" s="43">
        <f>41.50019328*E7*F7</f>
        <v>1241.76878332416</v>
      </c>
      <c r="K7" s="43">
        <f>8.9347474944*E7*F7</f>
        <v>267.3455145274368</v>
      </c>
      <c r="L7" s="43">
        <f>8.718528*E7*F7</f>
        <v>260.875794816</v>
      </c>
      <c r="M7" s="90">
        <f t="shared" si="1"/>
        <v>3074.369066747597</v>
      </c>
      <c r="N7" s="72">
        <f t="shared" si="2"/>
        <v>256.19742222896645</v>
      </c>
      <c r="O7" s="56">
        <f aca="true" t="shared" si="3" ref="O7:O30">N7/9098</f>
        <v>0.028159751838752082</v>
      </c>
      <c r="P7" s="73" t="s">
        <v>205</v>
      </c>
      <c r="T7" s="45">
        <f>N6+N11+N18+N20+N21+N22+N30</f>
        <v>13521.168074686148</v>
      </c>
    </row>
    <row r="8" spans="2:16" s="45" customFormat="1" ht="12.75">
      <c r="B8" s="91">
        <v>3</v>
      </c>
      <c r="C8" s="77" t="s">
        <v>17</v>
      </c>
      <c r="D8" s="41" t="s">
        <v>16</v>
      </c>
      <c r="E8" s="42">
        <v>14.961</v>
      </c>
      <c r="F8" s="42">
        <v>2</v>
      </c>
      <c r="G8" s="43">
        <f>347.62336*E8*F8</f>
        <v>10401.58617792</v>
      </c>
      <c r="H8" s="43">
        <f>0*E8*F8</f>
        <v>0</v>
      </c>
      <c r="I8" s="43">
        <f t="shared" si="0"/>
        <v>0</v>
      </c>
      <c r="J8" s="43">
        <f>330.93743872*E8*F8</f>
        <v>9902.31004137984</v>
      </c>
      <c r="K8" s="43">
        <f>71.2488838656*E8*F8</f>
        <v>2131.9091030264835</v>
      </c>
      <c r="L8" s="43">
        <f>69.524672*E8*F8</f>
        <v>2080.3172355839997</v>
      </c>
      <c r="M8" s="90">
        <f t="shared" si="1"/>
        <v>24516.122557910323</v>
      </c>
      <c r="N8" s="72">
        <f t="shared" si="2"/>
        <v>2043.0102131591937</v>
      </c>
      <c r="O8" s="56">
        <f t="shared" si="3"/>
        <v>0.22455596979107426</v>
      </c>
      <c r="P8" s="73" t="s">
        <v>205</v>
      </c>
    </row>
    <row r="9" spans="2:16" s="45" customFormat="1" ht="12.75">
      <c r="B9" s="89">
        <v>4</v>
      </c>
      <c r="C9" s="77" t="s">
        <v>18</v>
      </c>
      <c r="D9" s="41" t="s">
        <v>16</v>
      </c>
      <c r="E9" s="42">
        <v>14.961</v>
      </c>
      <c r="F9" s="42">
        <v>2</v>
      </c>
      <c r="G9" s="43">
        <f>504.2464*E9*F9</f>
        <v>15088.0607808</v>
      </c>
      <c r="H9" s="43">
        <f>0*E9*F9</f>
        <v>0</v>
      </c>
      <c r="I9" s="43">
        <f t="shared" si="0"/>
        <v>0</v>
      </c>
      <c r="J9" s="43">
        <f>480.0425728*E9*F9</f>
        <v>14363.8338633216</v>
      </c>
      <c r="K9" s="43">
        <f>103.350342144*E9*F9</f>
        <v>3092.448937632768</v>
      </c>
      <c r="L9" s="43">
        <f>100.84928*E9*F9</f>
        <v>3017.61215616</v>
      </c>
      <c r="M9" s="90">
        <f t="shared" si="1"/>
        <v>35561.95573791437</v>
      </c>
      <c r="N9" s="72">
        <f t="shared" si="2"/>
        <v>2963.4963114928646</v>
      </c>
      <c r="O9" s="56">
        <f t="shared" si="3"/>
        <v>0.3257305244551401</v>
      </c>
      <c r="P9" s="73" t="s">
        <v>205</v>
      </c>
    </row>
    <row r="10" spans="2:16" s="45" customFormat="1" ht="12.75" customHeight="1">
      <c r="B10" s="91">
        <v>5</v>
      </c>
      <c r="C10" s="77" t="s">
        <v>19</v>
      </c>
      <c r="D10" s="41" t="s">
        <v>20</v>
      </c>
      <c r="E10" s="42">
        <v>1.3436</v>
      </c>
      <c r="F10" s="42">
        <v>2</v>
      </c>
      <c r="G10" s="43">
        <f>352.97248*E10*F10</f>
        <v>948.507648256</v>
      </c>
      <c r="H10" s="43">
        <f>0*E10*F10</f>
        <v>0</v>
      </c>
      <c r="I10" s="43">
        <f t="shared" si="0"/>
        <v>0</v>
      </c>
      <c r="J10" s="43">
        <f>336.02980096*E10*F10</f>
        <v>902.9792811397119</v>
      </c>
      <c r="K10" s="43">
        <f>72.3452395008*E10*F10</f>
        <v>194.40612758654976</v>
      </c>
      <c r="L10" s="43">
        <f>70.594496*E10*F10</f>
        <v>189.7015296512</v>
      </c>
      <c r="M10" s="90">
        <f t="shared" si="1"/>
        <v>2235.594586633462</v>
      </c>
      <c r="N10" s="72">
        <f t="shared" si="2"/>
        <v>186.2995488861218</v>
      </c>
      <c r="O10" s="56">
        <f t="shared" si="3"/>
        <v>0.02047697833437259</v>
      </c>
      <c r="P10" s="73" t="s">
        <v>205</v>
      </c>
    </row>
    <row r="11" spans="2:16" ht="29.25" customHeight="1">
      <c r="B11" s="89">
        <v>6</v>
      </c>
      <c r="C11" s="59" t="s">
        <v>21</v>
      </c>
      <c r="D11" s="22" t="s">
        <v>22</v>
      </c>
      <c r="E11" s="23">
        <v>1</v>
      </c>
      <c r="F11" s="23">
        <v>2</v>
      </c>
      <c r="G11" s="24">
        <f>3958.7632*E11*F11</f>
        <v>7917.5264</v>
      </c>
      <c r="H11" s="24">
        <f>608.164872*E11*F11</f>
        <v>1216.329744</v>
      </c>
      <c r="I11" s="24">
        <f t="shared" si="0"/>
        <v>0</v>
      </c>
      <c r="J11" s="24">
        <f>3768.7425664*E11*F11</f>
        <v>7537.4851328</v>
      </c>
      <c r="K11" s="24">
        <f>875.245417032*E11*F11</f>
        <v>1750.490834064</v>
      </c>
      <c r="L11" s="24">
        <f>791.75264*E11*F11</f>
        <v>1583.50528</v>
      </c>
      <c r="M11" s="92">
        <f t="shared" si="1"/>
        <v>20005.337390864</v>
      </c>
      <c r="N11" s="72">
        <f t="shared" si="2"/>
        <v>1667.1114492386666</v>
      </c>
      <c r="O11" s="56">
        <f t="shared" si="3"/>
        <v>0.1832393327367187</v>
      </c>
      <c r="P11" s="73" t="s">
        <v>205</v>
      </c>
    </row>
    <row r="12" spans="2:16" ht="29.25" customHeight="1">
      <c r="B12" s="91">
        <v>7</v>
      </c>
      <c r="C12" s="78" t="s">
        <v>266</v>
      </c>
      <c r="D12" s="1" t="s">
        <v>223</v>
      </c>
      <c r="E12" s="60">
        <v>50</v>
      </c>
      <c r="F12" s="60">
        <v>1</v>
      </c>
      <c r="G12" s="3">
        <f>50.2992*E12*F12</f>
        <v>2514.96</v>
      </c>
      <c r="H12" s="3">
        <f>227.7324*E12*F12</f>
        <v>11386.62</v>
      </c>
      <c r="I12" s="3">
        <f>0*E12*F12</f>
        <v>0</v>
      </c>
      <c r="J12" s="3">
        <f>47.8848384*E12*F12</f>
        <v>2394.24192</v>
      </c>
      <c r="K12" s="3">
        <f>34.221226032*E12*F12</f>
        <v>1711.0613015999998</v>
      </c>
      <c r="L12" s="3">
        <f>10.05984*E12*F12</f>
        <v>502.99199999999996</v>
      </c>
      <c r="M12" s="93">
        <f>SUM(G12:L12)</f>
        <v>18509.8752216</v>
      </c>
      <c r="N12" s="72">
        <f t="shared" si="2"/>
        <v>1542.4896018</v>
      </c>
      <c r="O12" s="56">
        <f t="shared" si="3"/>
        <v>0.16954161373928336</v>
      </c>
      <c r="P12" s="73" t="s">
        <v>224</v>
      </c>
    </row>
    <row r="13" spans="2:16" ht="29.25" customHeight="1">
      <c r="B13" s="89">
        <v>8</v>
      </c>
      <c r="C13" s="38" t="s">
        <v>249</v>
      </c>
      <c r="D13" s="38" t="s">
        <v>247</v>
      </c>
      <c r="E13" s="132">
        <v>0.08</v>
      </c>
      <c r="F13" s="132">
        <v>12</v>
      </c>
      <c r="G13" s="133">
        <f>1341.312*E13*F13</f>
        <v>1287.65952</v>
      </c>
      <c r="H13" s="133">
        <f>0*E13*F13</f>
        <v>0</v>
      </c>
      <c r="I13" s="133">
        <f>0*E13*F13</f>
        <v>0</v>
      </c>
      <c r="J13" s="133">
        <f>1276.929024*E13*F13</f>
        <v>1225.85186304</v>
      </c>
      <c r="K13" s="133">
        <f>274.91530752*E13*F13</f>
        <v>263.9186952192</v>
      </c>
      <c r="L13" s="133">
        <f>268.2624*E13*F13</f>
        <v>257.531904</v>
      </c>
      <c r="M13" s="136">
        <f>SUM(G13:L13)</f>
        <v>3034.9619822591994</v>
      </c>
      <c r="N13" s="123">
        <f t="shared" si="2"/>
        <v>252.91349852159996</v>
      </c>
      <c r="O13" s="56">
        <f t="shared" si="3"/>
        <v>0.027798801771993842</v>
      </c>
      <c r="P13" s="122" t="s">
        <v>226</v>
      </c>
    </row>
    <row r="14" spans="2:16" ht="13.5" customHeight="1">
      <c r="B14" s="91">
        <v>9</v>
      </c>
      <c r="C14" s="59" t="s">
        <v>23</v>
      </c>
      <c r="D14" s="22" t="s">
        <v>24</v>
      </c>
      <c r="E14" s="23">
        <v>0.68</v>
      </c>
      <c r="F14" s="23">
        <v>2</v>
      </c>
      <c r="G14" s="24">
        <f>1134.5544*E14*F14</f>
        <v>1542.9939840000002</v>
      </c>
      <c r="H14" s="24">
        <f>0*E14*F14</f>
        <v>0</v>
      </c>
      <c r="I14" s="24">
        <f t="shared" si="0"/>
        <v>0</v>
      </c>
      <c r="J14" s="24">
        <f>1080.0957888*E14*F14</f>
        <v>1468.9302727680001</v>
      </c>
      <c r="K14" s="24">
        <f>232.538269824*E14*F14</f>
        <v>316.25204696064003</v>
      </c>
      <c r="L14" s="24">
        <f>226.91088*E14*F14</f>
        <v>308.5987968</v>
      </c>
      <c r="M14" s="92">
        <f t="shared" si="1"/>
        <v>3636.7751005286405</v>
      </c>
      <c r="N14" s="72">
        <f t="shared" si="2"/>
        <v>303.06459171072004</v>
      </c>
      <c r="O14" s="56">
        <f t="shared" si="3"/>
        <v>0.0333111224126973</v>
      </c>
      <c r="P14" s="73" t="s">
        <v>205</v>
      </c>
    </row>
    <row r="15" spans="2:16" ht="12.75">
      <c r="B15" s="89">
        <v>10</v>
      </c>
      <c r="C15" s="59" t="s">
        <v>25</v>
      </c>
      <c r="D15" s="22" t="s">
        <v>26</v>
      </c>
      <c r="E15" s="23">
        <v>12</v>
      </c>
      <c r="F15" s="23">
        <v>1</v>
      </c>
      <c r="G15" s="24">
        <f>558.88*E15*F15</f>
        <v>6706.5599999999995</v>
      </c>
      <c r="H15" s="24">
        <f>303.59812*E15*F15</f>
        <v>3643.17744</v>
      </c>
      <c r="I15" s="24">
        <f t="shared" si="0"/>
        <v>0</v>
      </c>
      <c r="J15" s="24">
        <f>532.05376*E15*F15</f>
        <v>6384.64512</v>
      </c>
      <c r="K15" s="24">
        <f>146.4258474*E15*F15</f>
        <v>1757.1101688</v>
      </c>
      <c r="L15" s="24">
        <f>111.776*E15*F15</f>
        <v>1341.312</v>
      </c>
      <c r="M15" s="92">
        <f t="shared" si="1"/>
        <v>19832.8047288</v>
      </c>
      <c r="N15" s="72">
        <f t="shared" si="2"/>
        <v>1652.7337274000001</v>
      </c>
      <c r="O15" s="56">
        <f t="shared" si="3"/>
        <v>0.18165901598153442</v>
      </c>
      <c r="P15" s="73" t="s">
        <v>207</v>
      </c>
    </row>
    <row r="16" spans="2:16" ht="12.75">
      <c r="B16" s="91">
        <v>11</v>
      </c>
      <c r="C16" s="59" t="s">
        <v>27</v>
      </c>
      <c r="D16" s="22" t="s">
        <v>26</v>
      </c>
      <c r="E16" s="23">
        <v>12</v>
      </c>
      <c r="F16" s="23">
        <v>1</v>
      </c>
      <c r="G16" s="24">
        <f>223.552*E16*F16</f>
        <v>2682.624</v>
      </c>
      <c r="H16" s="24">
        <f>0*E16*F16</f>
        <v>0</v>
      </c>
      <c r="I16" s="24">
        <f t="shared" si="0"/>
        <v>0</v>
      </c>
      <c r="J16" s="24">
        <f>212.821504*E16*F16</f>
        <v>2553.858048</v>
      </c>
      <c r="K16" s="24">
        <f>45.81921792*E16*F16</f>
        <v>549.83061504</v>
      </c>
      <c r="L16" s="24">
        <f>44.7104*E16*F16</f>
        <v>536.5248</v>
      </c>
      <c r="M16" s="92">
        <f t="shared" si="1"/>
        <v>6322.83746304</v>
      </c>
      <c r="N16" s="72">
        <f t="shared" si="2"/>
        <v>526.90312192</v>
      </c>
      <c r="O16" s="56">
        <f t="shared" si="3"/>
        <v>0.057914170358320506</v>
      </c>
      <c r="P16" s="73" t="s">
        <v>207</v>
      </c>
    </row>
    <row r="17" spans="2:16" ht="12.75">
      <c r="B17" s="89">
        <v>12</v>
      </c>
      <c r="C17" s="59" t="s">
        <v>28</v>
      </c>
      <c r="D17" s="22" t="s">
        <v>29</v>
      </c>
      <c r="E17" s="23">
        <v>1</v>
      </c>
      <c r="F17" s="23">
        <v>1</v>
      </c>
      <c r="G17" s="24">
        <f>31.935604913128*E17*F17</f>
        <v>31.935604913128</v>
      </c>
      <c r="H17" s="24">
        <f>0*E17*F17</f>
        <v>0</v>
      </c>
      <c r="I17" s="24">
        <f t="shared" si="0"/>
        <v>0</v>
      </c>
      <c r="J17" s="24">
        <f>30.402695877298*E17*F17</f>
        <v>30.402695877298</v>
      </c>
      <c r="K17" s="24">
        <f>6.5455215829947*E17*F17</f>
        <v>6.5455215829947</v>
      </c>
      <c r="L17" s="24">
        <f>6.3871209826256*E17*F17</f>
        <v>6.3871209826256</v>
      </c>
      <c r="M17" s="92">
        <f t="shared" si="1"/>
        <v>75.2709433560463</v>
      </c>
      <c r="N17" s="72">
        <f t="shared" si="2"/>
        <v>6.2725786130038585</v>
      </c>
      <c r="O17" s="56">
        <f t="shared" si="3"/>
        <v>0.0006894458796443019</v>
      </c>
      <c r="P17" s="73" t="s">
        <v>207</v>
      </c>
    </row>
    <row r="18" spans="2:16" ht="25.5">
      <c r="B18" s="91">
        <v>13</v>
      </c>
      <c r="C18" s="59" t="s">
        <v>30</v>
      </c>
      <c r="D18" s="22" t="s">
        <v>31</v>
      </c>
      <c r="E18" s="23">
        <v>1.384</v>
      </c>
      <c r="F18" s="23">
        <v>2</v>
      </c>
      <c r="G18" s="24">
        <f>504.2464*E18*F18</f>
        <v>1395.7540351999999</v>
      </c>
      <c r="H18" s="24">
        <f>0*E18*F18</f>
        <v>0</v>
      </c>
      <c r="I18" s="24">
        <f t="shared" si="0"/>
        <v>0</v>
      </c>
      <c r="J18" s="24">
        <f>480.0425728*E18*F18</f>
        <v>1328.7578415103999</v>
      </c>
      <c r="K18" s="24">
        <f>103.350342144*E18*F18</f>
        <v>286.073747054592</v>
      </c>
      <c r="L18" s="24">
        <f>100.84928*E18*F18</f>
        <v>279.15080703999996</v>
      </c>
      <c r="M18" s="92">
        <f t="shared" si="1"/>
        <v>3289.7364308049914</v>
      </c>
      <c r="N18" s="72">
        <f t="shared" si="2"/>
        <v>274.1447025670826</v>
      </c>
      <c r="O18" s="56">
        <f t="shared" si="3"/>
        <v>0.03013241399945951</v>
      </c>
      <c r="P18" s="73" t="s">
        <v>205</v>
      </c>
    </row>
    <row r="19" spans="2:16" ht="12.75">
      <c r="B19" s="89">
        <v>14</v>
      </c>
      <c r="C19" s="59" t="s">
        <v>32</v>
      </c>
      <c r="D19" s="22" t="s">
        <v>33</v>
      </c>
      <c r="E19" s="23">
        <v>1</v>
      </c>
      <c r="F19" s="23">
        <v>4</v>
      </c>
      <c r="G19" s="24">
        <f>447.104*E19*F19</f>
        <v>1788.416</v>
      </c>
      <c r="H19" s="24">
        <f>0*E19*F19</f>
        <v>0</v>
      </c>
      <c r="I19" s="24">
        <f t="shared" si="0"/>
        <v>0</v>
      </c>
      <c r="J19" s="24">
        <f>425.643008*E19*F19</f>
        <v>1702.572032</v>
      </c>
      <c r="K19" s="24">
        <f>91.63843584*E19*F19</f>
        <v>366.55374336</v>
      </c>
      <c r="L19" s="24">
        <f>89.4208*E19*F19</f>
        <v>357.6832</v>
      </c>
      <c r="M19" s="92">
        <f t="shared" si="1"/>
        <v>4215.224975360001</v>
      </c>
      <c r="N19" s="72">
        <f t="shared" si="2"/>
        <v>351.26874794666674</v>
      </c>
      <c r="O19" s="56">
        <f t="shared" si="3"/>
        <v>0.03860944690554701</v>
      </c>
      <c r="P19" s="73" t="s">
        <v>206</v>
      </c>
    </row>
    <row r="20" spans="2:16" ht="14.25" customHeight="1">
      <c r="B20" s="91">
        <v>15</v>
      </c>
      <c r="C20" s="59" t="s">
        <v>34</v>
      </c>
      <c r="D20" s="22" t="s">
        <v>35</v>
      </c>
      <c r="E20" s="23">
        <v>1</v>
      </c>
      <c r="F20" s="23">
        <v>1</v>
      </c>
      <c r="G20" s="24">
        <f>439.198592*E20*F20</f>
        <v>439.198592</v>
      </c>
      <c r="H20" s="24">
        <f>3.308846226*E20*F20</f>
        <v>3.308846226</v>
      </c>
      <c r="I20" s="24">
        <f t="shared" si="0"/>
        <v>0</v>
      </c>
      <c r="J20" s="24">
        <f>418.117059584*E20*F20</f>
        <v>418.117059584</v>
      </c>
      <c r="K20" s="24">
        <f>90.36557227005*E20*F20</f>
        <v>90.36557227005</v>
      </c>
      <c r="L20" s="24">
        <f>87.8397184*E20*F20</f>
        <v>87.8397184</v>
      </c>
      <c r="M20" s="92">
        <f t="shared" si="1"/>
        <v>1038.8297884800502</v>
      </c>
      <c r="N20" s="72">
        <f t="shared" si="2"/>
        <v>86.56914904000418</v>
      </c>
      <c r="O20" s="56">
        <f t="shared" si="3"/>
        <v>0.009515184550451108</v>
      </c>
      <c r="P20" s="73" t="s">
        <v>207</v>
      </c>
    </row>
    <row r="21" spans="2:16" ht="14.25" customHeight="1">
      <c r="B21" s="89">
        <v>16</v>
      </c>
      <c r="C21" s="59" t="s">
        <v>36</v>
      </c>
      <c r="D21" s="22" t="s">
        <v>35</v>
      </c>
      <c r="E21" s="23">
        <v>1</v>
      </c>
      <c r="F21" s="23">
        <v>1</v>
      </c>
      <c r="G21" s="24">
        <f>439.198592*E21*F21</f>
        <v>439.198592</v>
      </c>
      <c r="H21" s="24">
        <f>3.308846226*E21*F21</f>
        <v>3.308846226</v>
      </c>
      <c r="I21" s="24">
        <f t="shared" si="0"/>
        <v>0</v>
      </c>
      <c r="J21" s="24">
        <f>418.117059584*E21*F21</f>
        <v>418.117059584</v>
      </c>
      <c r="K21" s="24">
        <f>90.36557227005*E21*F21</f>
        <v>90.36557227005</v>
      </c>
      <c r="L21" s="24">
        <f>87.8397184*E21*F21</f>
        <v>87.8397184</v>
      </c>
      <c r="M21" s="92">
        <f t="shared" si="1"/>
        <v>1038.8297884800502</v>
      </c>
      <c r="N21" s="72">
        <f t="shared" si="2"/>
        <v>86.56914904000418</v>
      </c>
      <c r="O21" s="56">
        <f t="shared" si="3"/>
        <v>0.009515184550451108</v>
      </c>
      <c r="P21" s="73" t="s">
        <v>207</v>
      </c>
    </row>
    <row r="22" spans="2:16" ht="15.75" customHeight="1">
      <c r="B22" s="91">
        <v>17</v>
      </c>
      <c r="C22" s="59" t="s">
        <v>37</v>
      </c>
      <c r="D22" s="22" t="s">
        <v>38</v>
      </c>
      <c r="E22" s="23">
        <v>4</v>
      </c>
      <c r="F22" s="23">
        <v>4</v>
      </c>
      <c r="G22" s="24">
        <f>13.41312*E22*F22</f>
        <v>214.60992</v>
      </c>
      <c r="H22" s="24">
        <f aca="true" t="shared" si="4" ref="H22:H30">0*E22*F22</f>
        <v>0</v>
      </c>
      <c r="I22" s="24">
        <f t="shared" si="0"/>
        <v>0</v>
      </c>
      <c r="J22" s="24">
        <f>12.76929024*E22*F22</f>
        <v>204.30864384</v>
      </c>
      <c r="K22" s="24">
        <f>2.7491530752*E22*F22</f>
        <v>43.9864492032</v>
      </c>
      <c r="L22" s="24">
        <f>2.682624*E22*F22</f>
        <v>42.921984</v>
      </c>
      <c r="M22" s="92">
        <f t="shared" si="1"/>
        <v>505.8269970432</v>
      </c>
      <c r="N22" s="72">
        <f t="shared" si="2"/>
        <v>42.152249753599996</v>
      </c>
      <c r="O22" s="56">
        <f t="shared" si="3"/>
        <v>0.004633133628665641</v>
      </c>
      <c r="P22" s="73" t="s">
        <v>206</v>
      </c>
    </row>
    <row r="23" spans="2:16" ht="27.75" customHeight="1">
      <c r="B23" s="89">
        <v>18</v>
      </c>
      <c r="C23" s="59" t="s">
        <v>220</v>
      </c>
      <c r="D23" s="22" t="s">
        <v>39</v>
      </c>
      <c r="E23" s="23">
        <v>3</v>
      </c>
      <c r="F23" s="23">
        <v>12</v>
      </c>
      <c r="G23" s="24">
        <f>11.1776*E23*F23</f>
        <v>402.3936</v>
      </c>
      <c r="H23" s="24">
        <f t="shared" si="4"/>
        <v>0</v>
      </c>
      <c r="I23" s="24">
        <f t="shared" si="0"/>
        <v>0</v>
      </c>
      <c r="J23" s="24">
        <f>10.6410752*E23*F23</f>
        <v>383.0787072</v>
      </c>
      <c r="K23" s="24">
        <f>2.290960896*E23*F23</f>
        <v>82.47459225600001</v>
      </c>
      <c r="L23" s="24">
        <f>2.23552*E23*F23</f>
        <v>80.47872000000001</v>
      </c>
      <c r="M23" s="92">
        <f t="shared" si="1"/>
        <v>948.425619456</v>
      </c>
      <c r="N23" s="72">
        <f t="shared" si="2"/>
        <v>79.035468288</v>
      </c>
      <c r="O23" s="56">
        <f t="shared" si="3"/>
        <v>0.008687125553748077</v>
      </c>
      <c r="P23" s="73" t="s">
        <v>208</v>
      </c>
    </row>
    <row r="24" spans="2:16" ht="30" customHeight="1">
      <c r="B24" s="91">
        <v>19</v>
      </c>
      <c r="C24" s="59" t="s">
        <v>40</v>
      </c>
      <c r="D24" s="22" t="s">
        <v>41</v>
      </c>
      <c r="E24" s="23">
        <v>2</v>
      </c>
      <c r="F24" s="23">
        <v>1</v>
      </c>
      <c r="G24" s="24">
        <f>96.12736*E24*F24</f>
        <v>192.25472</v>
      </c>
      <c r="H24" s="24">
        <f t="shared" si="4"/>
        <v>0</v>
      </c>
      <c r="I24" s="24">
        <f t="shared" si="0"/>
        <v>0</v>
      </c>
      <c r="J24" s="24">
        <f>91.51324672*E24*F24</f>
        <v>183.02649344</v>
      </c>
      <c r="K24" s="24">
        <f>19.7022637056*E24*F24</f>
        <v>39.4045274112</v>
      </c>
      <c r="L24" s="24">
        <f>19.225472*E24*F24</f>
        <v>38.450944</v>
      </c>
      <c r="M24" s="92">
        <f t="shared" si="1"/>
        <v>453.13668485119996</v>
      </c>
      <c r="N24" s="72">
        <f t="shared" si="2"/>
        <v>37.76139040426666</v>
      </c>
      <c r="O24" s="56">
        <f t="shared" si="3"/>
        <v>0.004150515542346303</v>
      </c>
      <c r="P24" s="73" t="s">
        <v>221</v>
      </c>
    </row>
    <row r="25" spans="2:16" ht="32.25" customHeight="1">
      <c r="B25" s="89">
        <v>20</v>
      </c>
      <c r="C25" s="59" t="s">
        <v>42</v>
      </c>
      <c r="D25" s="22" t="s">
        <v>39</v>
      </c>
      <c r="E25" s="23">
        <v>2</v>
      </c>
      <c r="F25" s="23">
        <v>1</v>
      </c>
      <c r="G25" s="24">
        <f>25.21232*E25*F25</f>
        <v>50.42464</v>
      </c>
      <c r="H25" s="24">
        <f t="shared" si="4"/>
        <v>0</v>
      </c>
      <c r="I25" s="24">
        <f t="shared" si="0"/>
        <v>0</v>
      </c>
      <c r="J25" s="24">
        <f>24.00212864*E25*F25</f>
        <v>48.00425728</v>
      </c>
      <c r="K25" s="24">
        <f>5.1675171072*E25*F25</f>
        <v>10.3350342144</v>
      </c>
      <c r="L25" s="24">
        <f>5.042464*E25*F25</f>
        <v>10.084928</v>
      </c>
      <c r="M25" s="92">
        <f t="shared" si="1"/>
        <v>118.8488594944</v>
      </c>
      <c r="N25" s="72">
        <f t="shared" si="2"/>
        <v>9.904071624533334</v>
      </c>
      <c r="O25" s="56">
        <f t="shared" si="3"/>
        <v>0.0010885987716567744</v>
      </c>
      <c r="P25" s="73" t="s">
        <v>207</v>
      </c>
    </row>
    <row r="26" spans="2:16" ht="27.75" customHeight="1">
      <c r="B26" s="91">
        <v>21</v>
      </c>
      <c r="C26" s="59" t="s">
        <v>44</v>
      </c>
      <c r="D26" s="22" t="s">
        <v>41</v>
      </c>
      <c r="E26" s="23">
        <v>6</v>
      </c>
      <c r="F26" s="23">
        <v>1</v>
      </c>
      <c r="G26" s="24">
        <f>108.412976*E26*F26</f>
        <v>650.477856</v>
      </c>
      <c r="H26" s="24">
        <f t="shared" si="4"/>
        <v>0</v>
      </c>
      <c r="I26" s="24">
        <f t="shared" si="0"/>
        <v>0</v>
      </c>
      <c r="J26" s="24">
        <f>103.209153152*E26*F26</f>
        <v>619.254918912</v>
      </c>
      <c r="K26" s="24">
        <f>22.22032356096*E26*F26</f>
        <v>133.32194136576</v>
      </c>
      <c r="L26" s="24">
        <f>21.6825952*E26*F26</f>
        <v>130.0955712</v>
      </c>
      <c r="M26" s="92">
        <f t="shared" si="1"/>
        <v>1533.15028747776</v>
      </c>
      <c r="N26" s="72">
        <f t="shared" si="2"/>
        <v>127.76252395648</v>
      </c>
      <c r="O26" s="56">
        <f t="shared" si="3"/>
        <v>0.01404292415437239</v>
      </c>
      <c r="P26" s="73" t="s">
        <v>222</v>
      </c>
    </row>
    <row r="27" spans="2:16" ht="27.75" customHeight="1">
      <c r="B27" s="89">
        <v>22</v>
      </c>
      <c r="C27" s="59" t="s">
        <v>45</v>
      </c>
      <c r="D27" s="22" t="s">
        <v>43</v>
      </c>
      <c r="E27" s="23">
        <v>1</v>
      </c>
      <c r="F27" s="23">
        <v>1</v>
      </c>
      <c r="G27" s="24">
        <f>25.21232*E27*F27</f>
        <v>25.21232</v>
      </c>
      <c r="H27" s="24">
        <f t="shared" si="4"/>
        <v>0</v>
      </c>
      <c r="I27" s="24">
        <f t="shared" si="0"/>
        <v>0</v>
      </c>
      <c r="J27" s="24">
        <f>24.00212864*E27*F27</f>
        <v>24.00212864</v>
      </c>
      <c r="K27" s="24">
        <f>5.1675171072*E27*F27</f>
        <v>5.1675171072</v>
      </c>
      <c r="L27" s="24">
        <f>5.042464*E27*F27</f>
        <v>5.042464</v>
      </c>
      <c r="M27" s="92">
        <f t="shared" si="1"/>
        <v>59.4244297472</v>
      </c>
      <c r="N27" s="72">
        <f t="shared" si="2"/>
        <v>4.952035812266667</v>
      </c>
      <c r="O27" s="56">
        <f t="shared" si="3"/>
        <v>0.0005442993858283872</v>
      </c>
      <c r="P27" s="73" t="s">
        <v>205</v>
      </c>
    </row>
    <row r="28" spans="2:16" ht="30" customHeight="1">
      <c r="B28" s="91">
        <v>23</v>
      </c>
      <c r="C28" s="59" t="s">
        <v>203</v>
      </c>
      <c r="D28" s="22" t="s">
        <v>43</v>
      </c>
      <c r="E28" s="23">
        <v>1</v>
      </c>
      <c r="F28" s="23">
        <v>12</v>
      </c>
      <c r="G28" s="24">
        <f>19.45496*E28*F28</f>
        <v>233.45952</v>
      </c>
      <c r="H28" s="24">
        <f t="shared" si="4"/>
        <v>0</v>
      </c>
      <c r="I28" s="24">
        <f t="shared" si="0"/>
        <v>0</v>
      </c>
      <c r="J28" s="24">
        <f>18.52112192*E28*F28</f>
        <v>222.25346303999999</v>
      </c>
      <c r="K28" s="24">
        <f>3.9874886016*E28*F28</f>
        <v>47.8498632192</v>
      </c>
      <c r="L28" s="24">
        <f>3.890992*E28*F28</f>
        <v>46.691903999999994</v>
      </c>
      <c r="M28" s="92">
        <f t="shared" si="1"/>
        <v>550.2547502592</v>
      </c>
      <c r="N28" s="72">
        <f t="shared" si="2"/>
        <v>45.8545625216</v>
      </c>
      <c r="O28" s="56">
        <f t="shared" si="3"/>
        <v>0.005040070622290614</v>
      </c>
      <c r="P28" s="73" t="s">
        <v>208</v>
      </c>
    </row>
    <row r="29" spans="2:16" ht="24" customHeight="1">
      <c r="B29" s="89">
        <v>24</v>
      </c>
      <c r="C29" s="59" t="s">
        <v>209</v>
      </c>
      <c r="D29" s="22" t="s">
        <v>43</v>
      </c>
      <c r="E29" s="23">
        <v>2</v>
      </c>
      <c r="F29" s="23">
        <v>12</v>
      </c>
      <c r="G29" s="24">
        <f>233.45952*E29*F29</f>
        <v>5603.02848</v>
      </c>
      <c r="H29" s="24">
        <f t="shared" si="4"/>
        <v>0</v>
      </c>
      <c r="I29" s="24">
        <f t="shared" si="0"/>
        <v>0</v>
      </c>
      <c r="J29" s="24">
        <f>222.25346304*E29*F29</f>
        <v>5334.08311296</v>
      </c>
      <c r="K29" s="24">
        <f>47.8498632192*E29*F29</f>
        <v>1148.3967172608</v>
      </c>
      <c r="L29" s="24">
        <f>46.691904*E29*F29</f>
        <v>1120.605696</v>
      </c>
      <c r="M29" s="92">
        <f t="shared" si="1"/>
        <v>13206.114006220801</v>
      </c>
      <c r="N29" s="72">
        <f t="shared" si="2"/>
        <v>1100.5095005184</v>
      </c>
      <c r="O29" s="56">
        <f t="shared" si="3"/>
        <v>0.12096169493497473</v>
      </c>
      <c r="P29" s="73" t="s">
        <v>208</v>
      </c>
    </row>
    <row r="30" spans="2:16" ht="51.75" customHeight="1" thickBot="1">
      <c r="B30" s="91">
        <v>25</v>
      </c>
      <c r="C30" s="94" t="s">
        <v>46</v>
      </c>
      <c r="D30" s="95" t="s">
        <v>47</v>
      </c>
      <c r="E30" s="96">
        <v>9.098</v>
      </c>
      <c r="F30" s="96">
        <v>6</v>
      </c>
      <c r="G30" s="97">
        <f>1011.338272*E30*F30</f>
        <v>55206.933591936</v>
      </c>
      <c r="H30" s="97">
        <f t="shared" si="4"/>
        <v>0</v>
      </c>
      <c r="I30" s="97">
        <f t="shared" si="0"/>
        <v>0</v>
      </c>
      <c r="J30" s="97">
        <f>962.794034944*E30*F30</f>
        <v>52557.00077952308</v>
      </c>
      <c r="K30" s="97">
        <f>207.28389222912*E30*F30</f>
        <v>11315.213109003203</v>
      </c>
      <c r="L30" s="97">
        <f>202.2676544*E30*F30</f>
        <v>11041.3867183872</v>
      </c>
      <c r="M30" s="98">
        <f t="shared" si="1"/>
        <v>130120.53419884949</v>
      </c>
      <c r="N30" s="74">
        <f t="shared" si="2"/>
        <v>10843.377849904124</v>
      </c>
      <c r="O30" s="75">
        <f t="shared" si="3"/>
        <v>1.19184192678656</v>
      </c>
      <c r="P30" s="76" t="s">
        <v>219</v>
      </c>
    </row>
    <row r="31" spans="2:16" ht="13.5" thickBot="1">
      <c r="B31" s="168" t="s">
        <v>48</v>
      </c>
      <c r="C31" s="169"/>
      <c r="D31" s="169"/>
      <c r="E31" s="169"/>
      <c r="F31" s="170"/>
      <c r="G31" s="79">
        <f aca="true" t="shared" si="5" ref="G31:N31">SUM(G6:G30)</f>
        <v>119326.03015710512</v>
      </c>
      <c r="H31" s="80">
        <f t="shared" si="5"/>
        <v>17097.270460451997</v>
      </c>
      <c r="I31" s="80">
        <f t="shared" si="5"/>
        <v>0</v>
      </c>
      <c r="J31" s="80">
        <f t="shared" si="5"/>
        <v>113598.38070956408</v>
      </c>
      <c r="K31" s="80">
        <f t="shared" si="5"/>
        <v>26252.27653934773</v>
      </c>
      <c r="L31" s="81">
        <f t="shared" si="5"/>
        <v>23865.206031421025</v>
      </c>
      <c r="M31" s="82">
        <f t="shared" si="5"/>
        <v>300139.1638978899</v>
      </c>
      <c r="N31" s="67">
        <f t="shared" si="5"/>
        <v>25011.596991490827</v>
      </c>
      <c r="O31" s="67">
        <f>SUM(O6:O30)</f>
        <v>2.749131346613633</v>
      </c>
      <c r="P31" s="68"/>
    </row>
    <row r="32" spans="2:16" ht="19.5" customHeight="1" thickBot="1">
      <c r="B32" s="171" t="s">
        <v>49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66"/>
      <c r="O32" s="166"/>
      <c r="P32" s="167"/>
    </row>
    <row r="33" spans="2:16" ht="40.5" customHeight="1" thickBot="1">
      <c r="B33" s="83">
        <v>26</v>
      </c>
      <c r="C33" s="84" t="s">
        <v>242</v>
      </c>
      <c r="D33" s="85" t="s">
        <v>50</v>
      </c>
      <c r="E33" s="86">
        <v>1.2982</v>
      </c>
      <c r="F33" s="86">
        <v>240</v>
      </c>
      <c r="G33" s="87">
        <f>120.9158496*E33*F33</f>
        <v>37673.5094281728</v>
      </c>
      <c r="H33" s="87">
        <f>3.00606964*E33*F33</f>
        <v>936.5951055955201</v>
      </c>
      <c r="I33" s="87">
        <f aca="true" t="shared" si="6" ref="I33:I47">0*E33*F33</f>
        <v>0</v>
      </c>
      <c r="J33" s="87">
        <f>115.1118888192*E33*F33</f>
        <v>35865.18097562051</v>
      </c>
      <c r="K33" s="87">
        <f>25.098549846216*E33*F33</f>
        <v>7819.904978485826</v>
      </c>
      <c r="L33" s="87">
        <f>24.18316992*E33*F33</f>
        <v>7534.70188563456</v>
      </c>
      <c r="M33" s="88">
        <f aca="true" t="shared" si="7" ref="M33:M60">SUM(G33:L33)</f>
        <v>89829.89237350921</v>
      </c>
      <c r="N33" s="69">
        <f aca="true" t="shared" si="8" ref="N33:N60">M33/12</f>
        <v>7485.824364459101</v>
      </c>
      <c r="O33" s="70">
        <f>N33/9098</f>
        <v>0.8227988969508795</v>
      </c>
      <c r="P33" s="122" t="s">
        <v>273</v>
      </c>
    </row>
    <row r="34" spans="2:16" s="45" customFormat="1" ht="45" customHeight="1" thickBot="1">
      <c r="B34" s="89">
        <v>27</v>
      </c>
      <c r="C34" s="84" t="s">
        <v>243</v>
      </c>
      <c r="D34" s="41" t="s">
        <v>51</v>
      </c>
      <c r="E34" s="42">
        <v>22.201</v>
      </c>
      <c r="F34" s="42">
        <v>48</v>
      </c>
      <c r="G34" s="43">
        <f>105.5841696*E34*F34</f>
        <v>112515.5591659008</v>
      </c>
      <c r="H34" s="43">
        <f>2.91582536*E34*F34</f>
        <v>3107.2434632332797</v>
      </c>
      <c r="I34" s="43">
        <f t="shared" si="6"/>
        <v>0</v>
      </c>
      <c r="J34" s="43">
        <f>100.5161294592*E34*F34</f>
        <v>107114.81232593756</v>
      </c>
      <c r="K34" s="43">
        <f>21.946693064016*E34*F34</f>
        <v>23387.449570282522</v>
      </c>
      <c r="L34" s="43">
        <f>21.11683392*E34*F34</f>
        <v>22503.111833180163</v>
      </c>
      <c r="M34" s="90">
        <f t="shared" si="7"/>
        <v>268628.1763585344</v>
      </c>
      <c r="N34" s="72">
        <f t="shared" si="8"/>
        <v>22385.6813632112</v>
      </c>
      <c r="O34" s="56">
        <f aca="true" t="shared" si="9" ref="O34:O60">N34/9098</f>
        <v>2.46050575546397</v>
      </c>
      <c r="P34" s="122" t="s">
        <v>241</v>
      </c>
    </row>
    <row r="35" spans="2:16" ht="39" customHeight="1">
      <c r="B35" s="83">
        <v>28</v>
      </c>
      <c r="C35" s="59" t="s">
        <v>52</v>
      </c>
      <c r="D35" s="22" t="s">
        <v>53</v>
      </c>
      <c r="E35" s="23">
        <v>0.132</v>
      </c>
      <c r="F35" s="23">
        <v>240</v>
      </c>
      <c r="G35" s="24">
        <f>102.2112*E35*F35</f>
        <v>3238.0508160000004</v>
      </c>
      <c r="H35" s="24">
        <f>2.9151423*E35*F35</f>
        <v>92.351708064</v>
      </c>
      <c r="I35" s="24">
        <f t="shared" si="6"/>
        <v>0</v>
      </c>
      <c r="J35" s="24">
        <f>97.3050624*E35*F35</f>
        <v>3082.624376832</v>
      </c>
      <c r="K35" s="24">
        <f>21.2552974935*E35*F35</f>
        <v>673.36782459408</v>
      </c>
      <c r="L35" s="24">
        <f>20.44224*E35*F35</f>
        <v>647.6101632000001</v>
      </c>
      <c r="M35" s="92">
        <f t="shared" si="7"/>
        <v>7734.00488869008</v>
      </c>
      <c r="N35" s="72">
        <f t="shared" si="8"/>
        <v>644.50040739084</v>
      </c>
      <c r="O35" s="56">
        <f t="shared" si="9"/>
        <v>0.07083978977696637</v>
      </c>
      <c r="P35" s="122" t="s">
        <v>273</v>
      </c>
    </row>
    <row r="36" spans="2:16" ht="27" customHeight="1" thickBot="1">
      <c r="B36" s="89">
        <v>29</v>
      </c>
      <c r="C36" s="59" t="s">
        <v>54</v>
      </c>
      <c r="D36" s="22" t="s">
        <v>55</v>
      </c>
      <c r="E36" s="23">
        <v>4.96</v>
      </c>
      <c r="F36" s="23">
        <v>1</v>
      </c>
      <c r="G36" s="24">
        <f>91.99008*E36*F36</f>
        <v>456.2707968</v>
      </c>
      <c r="H36" s="24">
        <f>1.71732730694*E36*F36</f>
        <v>8.5179434424224</v>
      </c>
      <c r="I36" s="24">
        <f t="shared" si="6"/>
        <v>0</v>
      </c>
      <c r="J36" s="24">
        <f>87.57455616*E36*F36</f>
        <v>434.3697985536</v>
      </c>
      <c r="K36" s="24">
        <f>19.034606164029*E36*F36</f>
        <v>94.41164657358384</v>
      </c>
      <c r="L36" s="24">
        <f>18.398016*E36*F36</f>
        <v>91.25415935999999</v>
      </c>
      <c r="M36" s="92">
        <f t="shared" si="7"/>
        <v>1084.8243447296063</v>
      </c>
      <c r="N36" s="72">
        <f t="shared" si="8"/>
        <v>90.4020287274672</v>
      </c>
      <c r="O36" s="56">
        <f t="shared" si="9"/>
        <v>0.009936472711306573</v>
      </c>
      <c r="P36" s="73" t="s">
        <v>207</v>
      </c>
    </row>
    <row r="37" spans="2:16" ht="12.75">
      <c r="B37" s="83">
        <v>30</v>
      </c>
      <c r="C37" s="59" t="s">
        <v>56</v>
      </c>
      <c r="D37" s="22" t="s">
        <v>57</v>
      </c>
      <c r="E37" s="23">
        <v>0.503</v>
      </c>
      <c r="F37" s="23">
        <v>12</v>
      </c>
      <c r="G37" s="24">
        <f>231.6787203407*E37*F37</f>
        <v>1398.4127559764652</v>
      </c>
      <c r="H37" s="24">
        <f>20.828425672516*E37*F37</f>
        <v>125.72037735930658</v>
      </c>
      <c r="I37" s="24">
        <f t="shared" si="6"/>
        <v>0</v>
      </c>
      <c r="J37" s="24">
        <f>220.55814176435*E37*F37</f>
        <v>1331.2889436896166</v>
      </c>
      <c r="K37" s="24">
        <f>49.671855216645*E37*F37</f>
        <v>299.8193180876692</v>
      </c>
      <c r="L37" s="24">
        <f>46.335744068141*E37*F37</f>
        <v>279.6825511952991</v>
      </c>
      <c r="M37" s="92">
        <f t="shared" si="7"/>
        <v>3434.923946308357</v>
      </c>
      <c r="N37" s="72">
        <f t="shared" si="8"/>
        <v>286.24366219236305</v>
      </c>
      <c r="O37" s="56">
        <f t="shared" si="9"/>
        <v>0.0314622622765842</v>
      </c>
      <c r="P37" s="73" t="s">
        <v>208</v>
      </c>
    </row>
    <row r="38" spans="2:16" ht="13.5" thickBot="1">
      <c r="B38" s="89">
        <v>31</v>
      </c>
      <c r="C38" s="59" t="s">
        <v>58</v>
      </c>
      <c r="D38" s="22" t="s">
        <v>59</v>
      </c>
      <c r="E38" s="23">
        <v>2.4323</v>
      </c>
      <c r="F38" s="23">
        <v>1</v>
      </c>
      <c r="G38" s="24">
        <f>233.3822396593*E38*F38</f>
        <v>567.6556215233154</v>
      </c>
      <c r="H38" s="24">
        <f>15.220283573488*E38*F38</f>
        <v>37.02029573579487</v>
      </c>
      <c r="I38" s="24">
        <f t="shared" si="6"/>
        <v>0</v>
      </c>
      <c r="J38" s="24">
        <f>222.17989215565*E38*F38</f>
        <v>540.4081516901875</v>
      </c>
      <c r="K38" s="24">
        <f>49.432153615786*E38*F38</f>
        <v>120.23382723967629</v>
      </c>
      <c r="L38" s="24">
        <f>46.676447931859*E38*F38</f>
        <v>113.53112430466065</v>
      </c>
      <c r="M38" s="92">
        <f t="shared" si="7"/>
        <v>1378.8490204936347</v>
      </c>
      <c r="N38" s="72">
        <f t="shared" si="8"/>
        <v>114.90408504113623</v>
      </c>
      <c r="O38" s="56">
        <f t="shared" si="9"/>
        <v>0.012629598267876041</v>
      </c>
      <c r="P38" s="73" t="s">
        <v>207</v>
      </c>
    </row>
    <row r="39" spans="2:16" ht="25.5" customHeight="1">
      <c r="B39" s="83">
        <v>32</v>
      </c>
      <c r="C39" s="59" t="s">
        <v>60</v>
      </c>
      <c r="D39" s="22" t="s">
        <v>61</v>
      </c>
      <c r="E39" s="23">
        <v>1.7989</v>
      </c>
      <c r="F39" s="23">
        <v>1</v>
      </c>
      <c r="G39" s="24">
        <f>342.40752*E39*F39</f>
        <v>615.956887728</v>
      </c>
      <c r="H39" s="24">
        <f>29.762271482048*E39*F39</f>
        <v>53.53935016905614</v>
      </c>
      <c r="I39" s="24">
        <f t="shared" si="6"/>
        <v>0</v>
      </c>
      <c r="J39" s="24">
        <f>325.97195904*E39*F39</f>
        <v>586.390957117056</v>
      </c>
      <c r="K39" s="24">
        <f>73.304883804815*E39*F39</f>
        <v>131.86815547648172</v>
      </c>
      <c r="L39" s="24">
        <f>68.481504*E39*F39</f>
        <v>123.19137754559999</v>
      </c>
      <c r="M39" s="92">
        <f t="shared" si="7"/>
        <v>1510.9467280361937</v>
      </c>
      <c r="N39" s="72">
        <f t="shared" si="8"/>
        <v>125.91222733634947</v>
      </c>
      <c r="O39" s="56">
        <f t="shared" si="9"/>
        <v>0.013839550157875299</v>
      </c>
      <c r="P39" s="73" t="s">
        <v>207</v>
      </c>
    </row>
    <row r="40" spans="2:16" ht="13.5" customHeight="1" thickBot="1">
      <c r="B40" s="89">
        <v>33</v>
      </c>
      <c r="C40" s="59" t="s">
        <v>62</v>
      </c>
      <c r="D40" s="22" t="s">
        <v>63</v>
      </c>
      <c r="E40" s="23">
        <v>13.844</v>
      </c>
      <c r="F40" s="23">
        <v>1</v>
      </c>
      <c r="G40" s="24">
        <f>39.180959659296*E40*F40</f>
        <v>542.4212055232938</v>
      </c>
      <c r="H40" s="24">
        <f>0.216751376128*E40*F40</f>
        <v>3.000706051116032</v>
      </c>
      <c r="I40" s="24">
        <f t="shared" si="6"/>
        <v>0</v>
      </c>
      <c r="J40" s="24">
        <f>37.30027359565*E40*F40</f>
        <v>516.3849876581785</v>
      </c>
      <c r="K40" s="24">
        <f>8.0532883862628*E40*F40</f>
        <v>111.48972441942219</v>
      </c>
      <c r="L40" s="24">
        <f>7.8361919318592*E40*F40</f>
        <v>108.48424110465876</v>
      </c>
      <c r="M40" s="92">
        <f t="shared" si="7"/>
        <v>1281.7808647566694</v>
      </c>
      <c r="N40" s="72">
        <f t="shared" si="8"/>
        <v>106.81507206305578</v>
      </c>
      <c r="O40" s="56">
        <f t="shared" si="9"/>
        <v>0.01174050033667353</v>
      </c>
      <c r="P40" s="122" t="s">
        <v>207</v>
      </c>
    </row>
    <row r="41" spans="2:16" ht="13.5" customHeight="1">
      <c r="B41" s="83">
        <v>34</v>
      </c>
      <c r="C41" s="77" t="s">
        <v>238</v>
      </c>
      <c r="D41" s="41" t="s">
        <v>239</v>
      </c>
      <c r="E41" s="42">
        <v>0.2632</v>
      </c>
      <c r="F41" s="42">
        <v>1</v>
      </c>
      <c r="G41" s="43">
        <f>109.365984*E41*F41</f>
        <v>28.7851269888</v>
      </c>
      <c r="H41" s="43">
        <f>34.90858*E41*F41</f>
        <v>9.187938255999999</v>
      </c>
      <c r="I41" s="43">
        <f>0*E41*F41</f>
        <v>0</v>
      </c>
      <c r="J41" s="43">
        <f>104.116416768*E41*F41</f>
        <v>27.403440893337596</v>
      </c>
      <c r="K41" s="43">
        <f>26.08105298064*E41*F41</f>
        <v>6.864533144504447</v>
      </c>
      <c r="L41" s="43">
        <f>21.8731968*E41*F41</f>
        <v>5.75702539776</v>
      </c>
      <c r="M41" s="90">
        <f>SUM(G41:L41)</f>
        <v>77.99806468040204</v>
      </c>
      <c r="N41" s="72">
        <f>M41/12</f>
        <v>6.499838723366836</v>
      </c>
      <c r="O41" s="56">
        <f>N41/9098</f>
        <v>0.000714425008064062</v>
      </c>
      <c r="P41" s="73" t="s">
        <v>207</v>
      </c>
    </row>
    <row r="42" spans="2:16" s="45" customFormat="1" ht="12.75" customHeight="1" thickBot="1">
      <c r="B42" s="89">
        <v>35</v>
      </c>
      <c r="C42" s="77" t="s">
        <v>197</v>
      </c>
      <c r="D42" s="41" t="s">
        <v>64</v>
      </c>
      <c r="E42" s="42">
        <v>0.5222</v>
      </c>
      <c r="F42" s="42">
        <v>1</v>
      </c>
      <c r="G42" s="43">
        <f>109.365984*E42*F42</f>
        <v>57.110916844799995</v>
      </c>
      <c r="H42" s="43">
        <f>34.90858*E42*F42</f>
        <v>18.229260476</v>
      </c>
      <c r="I42" s="43">
        <f t="shared" si="6"/>
        <v>0</v>
      </c>
      <c r="J42" s="43">
        <f>104.116416768*E42*F42</f>
        <v>54.369592836249595</v>
      </c>
      <c r="K42" s="43">
        <f>26.08105298064*E42*F42</f>
        <v>13.619525866490207</v>
      </c>
      <c r="L42" s="43">
        <f>21.8731968*E42*F42</f>
        <v>11.422183368959999</v>
      </c>
      <c r="M42" s="90">
        <f t="shared" si="7"/>
        <v>154.75147939249982</v>
      </c>
      <c r="N42" s="72">
        <f t="shared" si="8"/>
        <v>12.895956616041651</v>
      </c>
      <c r="O42" s="56">
        <f t="shared" si="9"/>
        <v>0.0014174496170632723</v>
      </c>
      <c r="P42" s="73" t="s">
        <v>207</v>
      </c>
    </row>
    <row r="43" spans="2:16" s="45" customFormat="1" ht="36.75" customHeight="1">
      <c r="B43" s="83">
        <v>36</v>
      </c>
      <c r="C43" s="77" t="s">
        <v>198</v>
      </c>
      <c r="D43" s="41" t="s">
        <v>65</v>
      </c>
      <c r="E43" s="42">
        <v>0.3478</v>
      </c>
      <c r="F43" s="42">
        <v>1</v>
      </c>
      <c r="G43" s="43">
        <f>137.98512*E43*F43</f>
        <v>47.991224736</v>
      </c>
      <c r="H43" s="43">
        <f>34.90858*E43*F43</f>
        <v>12.141204124</v>
      </c>
      <c r="I43" s="43">
        <f t="shared" si="6"/>
        <v>0</v>
      </c>
      <c r="J43" s="43">
        <f>131.36183424*E43*F43</f>
        <v>45.687645948672</v>
      </c>
      <c r="K43" s="43">
        <f>31.9468310952*E43*F43</f>
        <v>11.11110785491056</v>
      </c>
      <c r="L43" s="43">
        <f>27.597024*E43*F43</f>
        <v>9.5982449472</v>
      </c>
      <c r="M43" s="90">
        <f t="shared" si="7"/>
        <v>126.52942761078255</v>
      </c>
      <c r="N43" s="72">
        <f t="shared" si="8"/>
        <v>10.544118967565213</v>
      </c>
      <c r="O43" s="56">
        <f t="shared" si="9"/>
        <v>0.0011589491061293924</v>
      </c>
      <c r="P43" s="73" t="s">
        <v>207</v>
      </c>
    </row>
    <row r="44" spans="2:16" s="45" customFormat="1" ht="13.5" thickBot="1">
      <c r="B44" s="89">
        <v>37</v>
      </c>
      <c r="C44" s="77" t="s">
        <v>199</v>
      </c>
      <c r="D44" s="41" t="s">
        <v>66</v>
      </c>
      <c r="E44" s="42">
        <v>0.1344</v>
      </c>
      <c r="F44" s="42">
        <v>12</v>
      </c>
      <c r="G44" s="43">
        <f>186.024384*E44*F44</f>
        <v>300.0201265152</v>
      </c>
      <c r="H44" s="43">
        <f>34.90858*E44*F44</f>
        <v>56.300557824</v>
      </c>
      <c r="I44" s="43">
        <f t="shared" si="6"/>
        <v>0</v>
      </c>
      <c r="J44" s="43">
        <f>177.095213568*E44*F44</f>
        <v>285.6191604424704</v>
      </c>
      <c r="K44" s="43">
        <f>41.79295864464*E44*F44</f>
        <v>67.4036837020754</v>
      </c>
      <c r="L44" s="43">
        <f>37.2048768*E44*F44</f>
        <v>60.004025303039995</v>
      </c>
      <c r="M44" s="90">
        <f t="shared" si="7"/>
        <v>769.3475537867857</v>
      </c>
      <c r="N44" s="72">
        <f t="shared" si="8"/>
        <v>64.1122961488988</v>
      </c>
      <c r="O44" s="56">
        <f t="shared" si="9"/>
        <v>0.007046856028676501</v>
      </c>
      <c r="P44" s="73" t="s">
        <v>208</v>
      </c>
    </row>
    <row r="45" spans="2:16" s="45" customFormat="1" ht="25.5">
      <c r="B45" s="83">
        <v>38</v>
      </c>
      <c r="C45" s="77" t="s">
        <v>200</v>
      </c>
      <c r="D45" s="41" t="s">
        <v>67</v>
      </c>
      <c r="E45" s="42">
        <v>0.2324</v>
      </c>
      <c r="F45" s="42">
        <v>1</v>
      </c>
      <c r="G45" s="43">
        <f>291.30192*E45*F45</f>
        <v>67.698566208</v>
      </c>
      <c r="H45" s="43">
        <f>34.90858*E45*F45</f>
        <v>8.112753992</v>
      </c>
      <c r="I45" s="43">
        <f t="shared" si="6"/>
        <v>0</v>
      </c>
      <c r="J45" s="43">
        <f>277.31942784*E45*F45</f>
        <v>64.449035030016</v>
      </c>
      <c r="K45" s="43">
        <f>63.3706424232*E45*F45</f>
        <v>14.72733729915168</v>
      </c>
      <c r="L45" s="43">
        <f>58.260384*E45*F45</f>
        <v>13.5397132416</v>
      </c>
      <c r="M45" s="90">
        <f t="shared" si="7"/>
        <v>168.52740577076767</v>
      </c>
      <c r="N45" s="72">
        <f t="shared" si="8"/>
        <v>14.043950480897307</v>
      </c>
      <c r="O45" s="56">
        <f t="shared" si="9"/>
        <v>0.0015436305210922519</v>
      </c>
      <c r="P45" s="73" t="s">
        <v>207</v>
      </c>
    </row>
    <row r="46" spans="2:16" ht="24.75" customHeight="1" thickBot="1">
      <c r="B46" s="89">
        <v>39</v>
      </c>
      <c r="C46" s="59" t="s">
        <v>68</v>
      </c>
      <c r="D46" s="22" t="s">
        <v>69</v>
      </c>
      <c r="E46" s="23">
        <v>2.24</v>
      </c>
      <c r="F46" s="23">
        <v>72</v>
      </c>
      <c r="G46" s="24">
        <f>157.3474*E46*F46</f>
        <v>25376.988672000003</v>
      </c>
      <c r="H46" s="24">
        <f>3.24319534*E46*F46</f>
        <v>523.0625444352002</v>
      </c>
      <c r="I46" s="24">
        <f t="shared" si="6"/>
        <v>0</v>
      </c>
      <c r="J46" s="24">
        <f>149.7947248*E46*F46</f>
        <v>24158.893215744003</v>
      </c>
      <c r="K46" s="24">
        <f>32.5904586147*E46*F46</f>
        <v>5256.189165378816</v>
      </c>
      <c r="L46" s="24">
        <f>31.46948*E46*F46</f>
        <v>5075.3977344</v>
      </c>
      <c r="M46" s="92">
        <f t="shared" si="7"/>
        <v>60390.53133195803</v>
      </c>
      <c r="N46" s="72">
        <f t="shared" si="8"/>
        <v>5032.544277663169</v>
      </c>
      <c r="O46" s="56">
        <f t="shared" si="9"/>
        <v>0.5531484147794207</v>
      </c>
      <c r="P46" s="73" t="s">
        <v>211</v>
      </c>
    </row>
    <row r="47" spans="2:16" ht="24">
      <c r="B47" s="83">
        <v>40</v>
      </c>
      <c r="C47" s="59" t="s">
        <v>70</v>
      </c>
      <c r="D47" s="22" t="s">
        <v>71</v>
      </c>
      <c r="E47" s="23">
        <v>0.009</v>
      </c>
      <c r="F47" s="23">
        <v>48</v>
      </c>
      <c r="G47" s="24">
        <f>109923.6474*E47*F47</f>
        <v>47487.0156768</v>
      </c>
      <c r="H47" s="24">
        <f>705.73914432*E47*F47</f>
        <v>304.87931034624</v>
      </c>
      <c r="I47" s="24">
        <f t="shared" si="6"/>
        <v>0</v>
      </c>
      <c r="J47" s="24">
        <f>104647.3123248*E47*F47</f>
        <v>45207.63892431359</v>
      </c>
      <c r="K47" s="24">
        <f>22604.053381258*E47*F47</f>
        <v>9764.951060703454</v>
      </c>
      <c r="L47" s="24">
        <f>21984.72948*E47*F47</f>
        <v>9497.40313536</v>
      </c>
      <c r="M47" s="92">
        <f t="shared" si="7"/>
        <v>112261.88810752328</v>
      </c>
      <c r="N47" s="72">
        <f t="shared" si="8"/>
        <v>9355.157342293607</v>
      </c>
      <c r="O47" s="56">
        <f t="shared" si="9"/>
        <v>1.0282652607489127</v>
      </c>
      <c r="P47" s="73" t="s">
        <v>212</v>
      </c>
    </row>
    <row r="48" spans="2:16" ht="24.75" thickBot="1">
      <c r="B48" s="89">
        <v>41</v>
      </c>
      <c r="C48" s="59" t="s">
        <v>72</v>
      </c>
      <c r="D48" s="22" t="s">
        <v>73</v>
      </c>
      <c r="E48" s="23">
        <v>8.59</v>
      </c>
      <c r="F48" s="23">
        <v>5</v>
      </c>
      <c r="G48" s="24">
        <f>109.54048*E48*F48</f>
        <v>4704.763616</v>
      </c>
      <c r="H48" s="24">
        <f>80.55545904*E48*F48</f>
        <v>3459.856965768</v>
      </c>
      <c r="I48" s="24">
        <f>40.692*E48*F48</f>
        <v>1747.7214000000001</v>
      </c>
      <c r="J48" s="24">
        <f>104.28253696*E48*F48</f>
        <v>4478.934962432</v>
      </c>
      <c r="K48" s="24">
        <f>35.18239998*E48*F48</f>
        <v>1511.0840791409998</v>
      </c>
      <c r="L48" s="24">
        <f>21.908096*E48*F48</f>
        <v>940.9527232</v>
      </c>
      <c r="M48" s="92">
        <f t="shared" si="7"/>
        <v>16843.313746541</v>
      </c>
      <c r="N48" s="72">
        <f t="shared" si="8"/>
        <v>1403.6094788784167</v>
      </c>
      <c r="O48" s="56">
        <f t="shared" si="9"/>
        <v>0.15427670684528652</v>
      </c>
      <c r="P48" s="73" t="s">
        <v>214</v>
      </c>
    </row>
    <row r="49" spans="2:16" ht="27" customHeight="1">
      <c r="B49" s="83">
        <v>42</v>
      </c>
      <c r="C49" s="59" t="s">
        <v>74</v>
      </c>
      <c r="D49" s="22" t="s">
        <v>75</v>
      </c>
      <c r="E49" s="23">
        <v>0.05</v>
      </c>
      <c r="F49" s="23">
        <v>144</v>
      </c>
      <c r="G49" s="24">
        <f>749.049*E49*F49</f>
        <v>5393.1528</v>
      </c>
      <c r="H49" s="24">
        <f>4.8048567*E49*F49</f>
        <v>34.59496824</v>
      </c>
      <c r="I49" s="24">
        <f aca="true" t="shared" si="10" ref="I49:I54">0*E49*F49</f>
        <v>0</v>
      </c>
      <c r="J49" s="24">
        <f>713.094648*E49*F49</f>
        <v>5134.2814656</v>
      </c>
      <c r="K49" s="24">
        <f>154.0295929935*E49*F49</f>
        <v>1109.0130695532</v>
      </c>
      <c r="L49" s="24">
        <f>149.8098*E49*F49</f>
        <v>1078.63056</v>
      </c>
      <c r="M49" s="92">
        <f t="shared" si="7"/>
        <v>12749.6728633932</v>
      </c>
      <c r="N49" s="72">
        <f t="shared" si="8"/>
        <v>1062.4727386161</v>
      </c>
      <c r="O49" s="56">
        <f t="shared" si="9"/>
        <v>0.11678091213630469</v>
      </c>
      <c r="P49" s="122" t="s">
        <v>273</v>
      </c>
    </row>
    <row r="50" spans="2:16" ht="24.75" thickBot="1">
      <c r="B50" s="89">
        <v>43</v>
      </c>
      <c r="C50" s="59" t="s">
        <v>76</v>
      </c>
      <c r="D50" s="22" t="s">
        <v>77</v>
      </c>
      <c r="E50" s="23">
        <v>0.83</v>
      </c>
      <c r="F50" s="23">
        <v>72</v>
      </c>
      <c r="G50" s="24">
        <f>204.4574*E50*F50</f>
        <v>12218.374224000001</v>
      </c>
      <c r="H50" s="24">
        <f>4.70463112*E50*F50</f>
        <v>281.14875573119997</v>
      </c>
      <c r="I50" s="24">
        <f t="shared" si="10"/>
        <v>0</v>
      </c>
      <c r="J50" s="24">
        <f>194.6434448*E50*F50</f>
        <v>11631.892261247998</v>
      </c>
      <c r="K50" s="24">
        <f>42.3995749716*E50*F50</f>
        <v>2533.7986003028163</v>
      </c>
      <c r="L50" s="24">
        <f>40.89148*E50*F50</f>
        <v>2443.6748448</v>
      </c>
      <c r="M50" s="92">
        <f t="shared" si="7"/>
        <v>29108.888686082017</v>
      </c>
      <c r="N50" s="72">
        <f t="shared" si="8"/>
        <v>2425.740723840168</v>
      </c>
      <c r="O50" s="56">
        <f t="shared" si="9"/>
        <v>0.26662351328205847</v>
      </c>
      <c r="P50" s="73" t="s">
        <v>230</v>
      </c>
    </row>
    <row r="51" spans="2:16" ht="30" customHeight="1">
      <c r="B51" s="83">
        <v>44</v>
      </c>
      <c r="C51" s="59" t="s">
        <v>78</v>
      </c>
      <c r="D51" s="22" t="s">
        <v>79</v>
      </c>
      <c r="E51" s="23">
        <v>0.098</v>
      </c>
      <c r="F51" s="23">
        <v>72</v>
      </c>
      <c r="G51" s="24">
        <f>2512.8474*E51*F51</f>
        <v>17730.651254400003</v>
      </c>
      <c r="H51" s="24">
        <f>59.482472*E51*F51</f>
        <v>419.708322432</v>
      </c>
      <c r="I51" s="24">
        <f t="shared" si="10"/>
        <v>0</v>
      </c>
      <c r="J51" s="24">
        <f>2392.2307248*E51*F51</f>
        <v>16879.579994188804</v>
      </c>
      <c r="K51" s="24">
        <f>521.278862664*E51*F51</f>
        <v>3678.143654957184</v>
      </c>
      <c r="L51" s="24">
        <f>502.56948*E51*F51</f>
        <v>3546.1302508800004</v>
      </c>
      <c r="M51" s="92">
        <f t="shared" si="7"/>
        <v>42254.213476857985</v>
      </c>
      <c r="N51" s="72">
        <f t="shared" si="8"/>
        <v>3521.184456404832</v>
      </c>
      <c r="O51" s="56">
        <f t="shared" si="9"/>
        <v>0.38702840804625543</v>
      </c>
      <c r="P51" s="73" t="s">
        <v>229</v>
      </c>
    </row>
    <row r="52" spans="2:16" ht="45" customHeight="1" thickBot="1">
      <c r="B52" s="89">
        <v>45</v>
      </c>
      <c r="C52" s="59" t="s">
        <v>80</v>
      </c>
      <c r="D52" s="22" t="s">
        <v>79</v>
      </c>
      <c r="E52" s="23">
        <v>0.098</v>
      </c>
      <c r="F52" s="23">
        <v>15</v>
      </c>
      <c r="G52" s="24">
        <f>11149.0526*E52*F52</f>
        <v>16389.107322000003</v>
      </c>
      <c r="H52" s="24">
        <f>317.58272*E52*F52</f>
        <v>466.8465984</v>
      </c>
      <c r="I52" s="24">
        <f t="shared" si="10"/>
        <v>0</v>
      </c>
      <c r="J52" s="24">
        <f>10613.8980752*E52*F52</f>
        <v>15602.430170544001</v>
      </c>
      <c r="K52" s="24">
        <f>2318.456006496*E52*F52</f>
        <v>3408.1303295491207</v>
      </c>
      <c r="L52" s="24">
        <f>2229.81052*E52*F52</f>
        <v>3277.8214644</v>
      </c>
      <c r="M52" s="92">
        <f t="shared" si="7"/>
        <v>39144.335884893124</v>
      </c>
      <c r="N52" s="72">
        <f t="shared" si="8"/>
        <v>3262.02799040776</v>
      </c>
      <c r="O52" s="56">
        <f t="shared" si="9"/>
        <v>0.3585434150810904</v>
      </c>
      <c r="P52" s="122" t="s">
        <v>263</v>
      </c>
    </row>
    <row r="53" spans="2:16" ht="24">
      <c r="B53" s="83">
        <v>46</v>
      </c>
      <c r="C53" s="59" t="s">
        <v>81</v>
      </c>
      <c r="D53" s="22" t="s">
        <v>82</v>
      </c>
      <c r="E53" s="23">
        <v>9.15</v>
      </c>
      <c r="F53" s="23">
        <v>10</v>
      </c>
      <c r="G53" s="24">
        <f>23.555*E53*F53</f>
        <v>2155.2825000000003</v>
      </c>
      <c r="H53" s="24">
        <f>559.498611*E53*F53</f>
        <v>51194.12290649999</v>
      </c>
      <c r="I53" s="24">
        <f t="shared" si="10"/>
        <v>0</v>
      </c>
      <c r="J53" s="24">
        <f>22.42436*E53*F53</f>
        <v>2051.82894</v>
      </c>
      <c r="K53" s="24">
        <f>63.575186955*E53*F53</f>
        <v>5817.1296063825</v>
      </c>
      <c r="L53" s="24">
        <f>4.711*E53*F53</f>
        <v>431.0565</v>
      </c>
      <c r="M53" s="92">
        <f t="shared" si="7"/>
        <v>61649.42045288249</v>
      </c>
      <c r="N53" s="72">
        <f t="shared" si="8"/>
        <v>5137.451704406874</v>
      </c>
      <c r="O53" s="56">
        <f t="shared" si="9"/>
        <v>0.5646792376793662</v>
      </c>
      <c r="P53" s="122" t="s">
        <v>274</v>
      </c>
    </row>
    <row r="54" spans="2:16" ht="23.25" customHeight="1" thickBot="1">
      <c r="B54" s="89">
        <v>47</v>
      </c>
      <c r="C54" s="59" t="s">
        <v>83</v>
      </c>
      <c r="D54" s="22" t="s">
        <v>84</v>
      </c>
      <c r="E54" s="23">
        <v>6</v>
      </c>
      <c r="F54" s="23">
        <v>1</v>
      </c>
      <c r="G54" s="24">
        <f>99.8732*E54*F54</f>
        <v>599.2392</v>
      </c>
      <c r="H54" s="24">
        <f>152.2822*E54*F54</f>
        <v>913.6931999999999</v>
      </c>
      <c r="I54" s="24">
        <f t="shared" si="10"/>
        <v>0</v>
      </c>
      <c r="J54" s="24">
        <f>95.0792864*E54*F54</f>
        <v>570.4757184</v>
      </c>
      <c r="K54" s="24">
        <f>36.459642072*E54*F54</f>
        <v>218.757852432</v>
      </c>
      <c r="L54" s="24">
        <f>19.97464*E54*F54</f>
        <v>119.84784</v>
      </c>
      <c r="M54" s="92">
        <f t="shared" si="7"/>
        <v>2422.0138108319998</v>
      </c>
      <c r="N54" s="72">
        <f t="shared" si="8"/>
        <v>201.83448423599998</v>
      </c>
      <c r="O54" s="56">
        <f t="shared" si="9"/>
        <v>0.022184489364255877</v>
      </c>
      <c r="P54" s="73" t="s">
        <v>213</v>
      </c>
    </row>
    <row r="55" spans="2:16" ht="46.5" customHeight="1">
      <c r="B55" s="83">
        <v>48</v>
      </c>
      <c r="C55" s="59" t="s">
        <v>85</v>
      </c>
      <c r="D55" s="22" t="s">
        <v>86</v>
      </c>
      <c r="E55" s="23">
        <v>1.26</v>
      </c>
      <c r="F55" s="23">
        <v>5</v>
      </c>
      <c r="G55" s="24">
        <f>0*E55*F55</f>
        <v>0</v>
      </c>
      <c r="H55" s="24">
        <f>0*E55*F55</f>
        <v>0</v>
      </c>
      <c r="I55" s="24">
        <f>47.0404*E55*F55</f>
        <v>296.35452</v>
      </c>
      <c r="J55" s="24">
        <f>15.918110208*E55*F55</f>
        <v>100.28409431040001</v>
      </c>
      <c r="K55" s="24">
        <f>6.61064357184*E55*F55</f>
        <v>41.647054502592</v>
      </c>
      <c r="L55" s="24">
        <f>3.3441408*E55*F55</f>
        <v>21.06808704</v>
      </c>
      <c r="M55" s="92">
        <f t="shared" si="7"/>
        <v>459.353755852992</v>
      </c>
      <c r="N55" s="72">
        <f t="shared" si="8"/>
        <v>38.279479654416</v>
      </c>
      <c r="O55" s="56">
        <f t="shared" si="9"/>
        <v>0.0042074609424506484</v>
      </c>
      <c r="P55" s="73" t="s">
        <v>218</v>
      </c>
    </row>
    <row r="56" spans="2:16" ht="24.75" customHeight="1" thickBot="1">
      <c r="B56" s="89">
        <v>49</v>
      </c>
      <c r="C56" s="59" t="s">
        <v>87</v>
      </c>
      <c r="D56" s="22" t="s">
        <v>88</v>
      </c>
      <c r="E56" s="23">
        <v>0.6</v>
      </c>
      <c r="F56" s="23">
        <v>72</v>
      </c>
      <c r="G56" s="24">
        <f>130.0236*E56*F56</f>
        <v>5617.019519999999</v>
      </c>
      <c r="H56" s="24">
        <f>0.59482472*E56*F56</f>
        <v>25.696427904</v>
      </c>
      <c r="I56" s="24">
        <f>0*E56*F56</f>
        <v>0</v>
      </c>
      <c r="J56" s="24">
        <f>123.7824672*E56*F56</f>
        <v>5347.40258304</v>
      </c>
      <c r="K56" s="24">
        <f>26.7120936516*E56*F56</f>
        <v>1153.96244574912</v>
      </c>
      <c r="L56" s="24">
        <f>26.00472*E56*F56</f>
        <v>1123.403904</v>
      </c>
      <c r="M56" s="92">
        <f t="shared" si="7"/>
        <v>13267.48488069312</v>
      </c>
      <c r="N56" s="72">
        <f t="shared" si="8"/>
        <v>1105.62374005776</v>
      </c>
      <c r="O56" s="56">
        <f t="shared" si="9"/>
        <v>0.12152382282455045</v>
      </c>
      <c r="P56" s="122" t="s">
        <v>273</v>
      </c>
    </row>
    <row r="57" spans="2:16" ht="25.5" customHeight="1">
      <c r="B57" s="83">
        <v>50</v>
      </c>
      <c r="C57" s="59" t="s">
        <v>89</v>
      </c>
      <c r="D57" s="22" t="s">
        <v>88</v>
      </c>
      <c r="E57" s="23">
        <v>0.6</v>
      </c>
      <c r="F57" s="23">
        <v>72</v>
      </c>
      <c r="G57" s="24">
        <f>24.0261*E57*F57</f>
        <v>1037.92752</v>
      </c>
      <c r="H57" s="24">
        <f>0.292287156*E57*F57</f>
        <v>12.626805139199998</v>
      </c>
      <c r="I57" s="24">
        <f>0*E57*F57</f>
        <v>0</v>
      </c>
      <c r="J57" s="24">
        <f>22.8728472*E57*F57</f>
        <v>988.1069990399999</v>
      </c>
      <c r="K57" s="24">
        <f>4.95507960738*E57*F57</f>
        <v>214.05943903881598</v>
      </c>
      <c r="L57" s="24">
        <f>4.80522*E57*F57</f>
        <v>207.58550400000001</v>
      </c>
      <c r="M57" s="92">
        <f t="shared" si="7"/>
        <v>2460.3062672180163</v>
      </c>
      <c r="N57" s="72">
        <f t="shared" si="8"/>
        <v>205.02552226816803</v>
      </c>
      <c r="O57" s="56">
        <f t="shared" si="9"/>
        <v>0.02253522997012179</v>
      </c>
      <c r="P57" s="122" t="s">
        <v>273</v>
      </c>
    </row>
    <row r="58" spans="2:16" ht="24.75" thickBot="1">
      <c r="B58" s="89">
        <v>51</v>
      </c>
      <c r="C58" s="59" t="s">
        <v>90</v>
      </c>
      <c r="D58" s="22" t="s">
        <v>88</v>
      </c>
      <c r="E58" s="23">
        <v>0.08</v>
      </c>
      <c r="F58" s="23">
        <v>72</v>
      </c>
      <c r="G58" s="24">
        <f>565.32*E58*F58</f>
        <v>3256.2432000000003</v>
      </c>
      <c r="H58" s="24">
        <f>1.31878796*E58*F58</f>
        <v>7.596218649600001</v>
      </c>
      <c r="I58" s="24">
        <f>0*E58*F58</f>
        <v>0</v>
      </c>
      <c r="J58" s="24">
        <f>538.18464*E58*F58</f>
        <v>3099.9435264</v>
      </c>
      <c r="K58" s="24">
        <f>116.0064599358*E58*F58</f>
        <v>668.1972092302079</v>
      </c>
      <c r="L58" s="24">
        <f>113.064*E58*F58</f>
        <v>651.2486399999999</v>
      </c>
      <c r="M58" s="92">
        <f t="shared" si="7"/>
        <v>7683.2287942798075</v>
      </c>
      <c r="N58" s="72">
        <f t="shared" si="8"/>
        <v>640.269066189984</v>
      </c>
      <c r="O58" s="56">
        <f t="shared" si="9"/>
        <v>0.07037470501098966</v>
      </c>
      <c r="P58" s="73" t="s">
        <v>231</v>
      </c>
    </row>
    <row r="59" spans="2:16" ht="24">
      <c r="B59" s="83">
        <v>52</v>
      </c>
      <c r="C59" s="59" t="s">
        <v>91</v>
      </c>
      <c r="D59" s="22" t="s">
        <v>73</v>
      </c>
      <c r="E59" s="23">
        <v>0.08</v>
      </c>
      <c r="F59" s="23">
        <v>72</v>
      </c>
      <c r="G59" s="24">
        <f>228.9546*E59*F59</f>
        <v>1318.7784960000001</v>
      </c>
      <c r="H59" s="24">
        <f>1.28129512*E59*F59</f>
        <v>7.380259891200001</v>
      </c>
      <c r="I59" s="24">
        <f>0*E59*F59</f>
        <v>0</v>
      </c>
      <c r="J59" s="24">
        <f>217.9647792*E59*F59</f>
        <v>1255.4771281920002</v>
      </c>
      <c r="K59" s="24">
        <f>47.0610708036*E59*F59</f>
        <v>271.07176782873603</v>
      </c>
      <c r="L59" s="24">
        <f>45.79092*E59*F59</f>
        <v>263.7556992</v>
      </c>
      <c r="M59" s="92">
        <f t="shared" si="7"/>
        <v>3116.4633511119364</v>
      </c>
      <c r="N59" s="72">
        <f t="shared" si="8"/>
        <v>259.70527925932805</v>
      </c>
      <c r="O59" s="56">
        <f t="shared" si="9"/>
        <v>0.028545315372535508</v>
      </c>
      <c r="P59" s="73" t="s">
        <v>232</v>
      </c>
    </row>
    <row r="60" spans="2:16" ht="13.5" thickBot="1">
      <c r="B60" s="89">
        <v>53</v>
      </c>
      <c r="C60" s="94" t="s">
        <v>92</v>
      </c>
      <c r="D60" s="95" t="s">
        <v>93</v>
      </c>
      <c r="E60" s="96">
        <v>0.08</v>
      </c>
      <c r="F60" s="96">
        <v>12</v>
      </c>
      <c r="G60" s="97">
        <f>7349.16*E60*F60</f>
        <v>7055.1936000000005</v>
      </c>
      <c r="H60" s="97">
        <f>5458.026839748*E60*F60</f>
        <v>5239.70576615808</v>
      </c>
      <c r="I60" s="97">
        <f>0*E60*F60</f>
        <v>0</v>
      </c>
      <c r="J60" s="97">
        <f>6996.40032*E60*F60</f>
        <v>6716.5443072</v>
      </c>
      <c r="K60" s="97">
        <f>2079.3766517735*E60*F60</f>
        <v>1996.20158570256</v>
      </c>
      <c r="L60" s="97">
        <f>1469.832*E60*F60</f>
        <v>1411.03872</v>
      </c>
      <c r="M60" s="98">
        <f t="shared" si="7"/>
        <v>22418.683979060643</v>
      </c>
      <c r="N60" s="74">
        <f t="shared" si="8"/>
        <v>1868.2236649217202</v>
      </c>
      <c r="O60" s="75">
        <f t="shared" si="9"/>
        <v>0.20534443448249287</v>
      </c>
      <c r="P60" s="76" t="s">
        <v>208</v>
      </c>
    </row>
    <row r="61" spans="2:16" ht="13.5" thickBot="1">
      <c r="B61" s="168" t="s">
        <v>48</v>
      </c>
      <c r="C61" s="169"/>
      <c r="D61" s="169"/>
      <c r="E61" s="169"/>
      <c r="F61" s="170"/>
      <c r="G61" s="79">
        <f aca="true" t="shared" si="11" ref="G61:M61">SUM(G33:G60)</f>
        <v>307849.18024011765</v>
      </c>
      <c r="H61" s="80">
        <f t="shared" si="11"/>
        <v>67358.87971391721</v>
      </c>
      <c r="I61" s="80">
        <f t="shared" si="11"/>
        <v>2044.0759200000002</v>
      </c>
      <c r="J61" s="80">
        <f t="shared" si="11"/>
        <v>293172.70368290227</v>
      </c>
      <c r="K61" s="80">
        <f t="shared" si="11"/>
        <v>70394.60815347849</v>
      </c>
      <c r="L61" s="81">
        <f t="shared" si="11"/>
        <v>61590.90413506351</v>
      </c>
      <c r="M61" s="82">
        <f t="shared" si="11"/>
        <v>802410.3518454792</v>
      </c>
      <c r="N61" s="67">
        <f>SUM(N33:N60)</f>
        <v>66867.52932045658</v>
      </c>
      <c r="O61" s="67">
        <f>SUM(O33:O60)</f>
        <v>7.349695462789248</v>
      </c>
      <c r="P61" s="68"/>
    </row>
    <row r="62" spans="2:16" ht="15.75" customHeight="1" thickBot="1">
      <c r="B62" s="165" t="s">
        <v>175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7"/>
    </row>
    <row r="63" spans="2:16" ht="29.25" customHeight="1">
      <c r="B63" s="115">
        <v>54</v>
      </c>
      <c r="C63" s="85" t="s">
        <v>189</v>
      </c>
      <c r="D63" s="85"/>
      <c r="E63" s="85"/>
      <c r="F63" s="86">
        <v>365</v>
      </c>
      <c r="G63" s="116"/>
      <c r="H63" s="116"/>
      <c r="I63" s="116"/>
      <c r="J63" s="116"/>
      <c r="K63" s="116"/>
      <c r="L63" s="116"/>
      <c r="M63" s="88">
        <f aca="true" t="shared" si="12" ref="M63:M72">N63*12</f>
        <v>251213.97600000002</v>
      </c>
      <c r="N63" s="99">
        <f>O63*9098</f>
        <v>20934.498000000003</v>
      </c>
      <c r="O63" s="100">
        <v>2.301</v>
      </c>
      <c r="P63" s="71" t="s">
        <v>215</v>
      </c>
    </row>
    <row r="64" spans="2:16" ht="12" customHeight="1" thickBot="1">
      <c r="B64" s="117">
        <v>55</v>
      </c>
      <c r="C64" s="22" t="s">
        <v>190</v>
      </c>
      <c r="D64" s="22"/>
      <c r="E64" s="22"/>
      <c r="F64" s="23">
        <v>1</v>
      </c>
      <c r="G64" s="25"/>
      <c r="H64" s="25"/>
      <c r="I64" s="25"/>
      <c r="J64" s="25"/>
      <c r="K64" s="25"/>
      <c r="L64" s="25"/>
      <c r="M64" s="92">
        <f>N64*12</f>
        <v>144112.32</v>
      </c>
      <c r="N64" s="101">
        <f>O64*9098</f>
        <v>12009.36</v>
      </c>
      <c r="O64" s="57">
        <v>1.32</v>
      </c>
      <c r="P64" s="73" t="s">
        <v>216</v>
      </c>
    </row>
    <row r="65" spans="2:16" ht="24">
      <c r="B65" s="115">
        <v>56</v>
      </c>
      <c r="C65" s="22" t="s">
        <v>176</v>
      </c>
      <c r="D65" s="22"/>
      <c r="E65" s="22"/>
      <c r="F65" s="23">
        <v>365</v>
      </c>
      <c r="G65" s="25"/>
      <c r="H65" s="25"/>
      <c r="I65" s="25"/>
      <c r="J65" s="25"/>
      <c r="K65" s="25"/>
      <c r="L65" s="25"/>
      <c r="M65" s="92">
        <f t="shared" si="12"/>
        <v>270756.48</v>
      </c>
      <c r="N65" s="101">
        <f aca="true" t="shared" si="13" ref="N65:N72">O65*9098</f>
        <v>22563.04</v>
      </c>
      <c r="O65" s="57">
        <v>2.48</v>
      </c>
      <c r="P65" s="73" t="s">
        <v>217</v>
      </c>
    </row>
    <row r="66" spans="2:16" ht="13.5" thickBot="1">
      <c r="B66" s="117">
        <v>57</v>
      </c>
      <c r="C66" s="22" t="s">
        <v>177</v>
      </c>
      <c r="D66" s="22"/>
      <c r="E66" s="22"/>
      <c r="F66" s="23">
        <v>12</v>
      </c>
      <c r="G66" s="25"/>
      <c r="H66" s="25"/>
      <c r="I66" s="25"/>
      <c r="J66" s="25"/>
      <c r="K66" s="25"/>
      <c r="L66" s="25"/>
      <c r="M66" s="92">
        <f t="shared" si="12"/>
        <v>43670.4</v>
      </c>
      <c r="N66" s="101">
        <f>O66*9098</f>
        <v>3639.2000000000003</v>
      </c>
      <c r="O66" s="57">
        <v>0.4</v>
      </c>
      <c r="P66" s="73" t="s">
        <v>208</v>
      </c>
    </row>
    <row r="67" spans="2:16" s="45" customFormat="1" ht="12.75">
      <c r="B67" s="115">
        <v>58</v>
      </c>
      <c r="C67" s="41" t="s">
        <v>178</v>
      </c>
      <c r="D67" s="41"/>
      <c r="E67" s="41"/>
      <c r="F67" s="42">
        <v>12</v>
      </c>
      <c r="G67" s="44"/>
      <c r="H67" s="44"/>
      <c r="I67" s="44"/>
      <c r="J67" s="44"/>
      <c r="K67" s="44"/>
      <c r="L67" s="44"/>
      <c r="M67" s="90">
        <f>4000*12</f>
        <v>48000</v>
      </c>
      <c r="N67" s="101">
        <f>M67/12</f>
        <v>4000</v>
      </c>
      <c r="O67" s="57">
        <f>N67/9098</f>
        <v>0.43965706748735983</v>
      </c>
      <c r="P67" s="73" t="s">
        <v>226</v>
      </c>
    </row>
    <row r="68" spans="2:16" s="45" customFormat="1" ht="12.75">
      <c r="B68" s="137"/>
      <c r="C68" s="41" t="s">
        <v>248</v>
      </c>
      <c r="D68" s="46"/>
      <c r="E68" s="46"/>
      <c r="F68" s="55">
        <v>12</v>
      </c>
      <c r="G68" s="47"/>
      <c r="H68" s="47"/>
      <c r="I68" s="47"/>
      <c r="J68" s="47"/>
      <c r="K68" s="47"/>
      <c r="L68" s="47"/>
      <c r="M68" s="146">
        <f t="shared" si="12"/>
        <v>38211.6</v>
      </c>
      <c r="N68" s="147">
        <f t="shared" si="13"/>
        <v>3184.2999999999997</v>
      </c>
      <c r="O68" s="58">
        <v>0.35</v>
      </c>
      <c r="P68" s="73" t="s">
        <v>226</v>
      </c>
    </row>
    <row r="69" spans="2:16" s="45" customFormat="1" ht="13.5" thickBot="1">
      <c r="B69" s="117">
        <v>59</v>
      </c>
      <c r="C69" s="138" t="s">
        <v>191</v>
      </c>
      <c r="D69" s="144"/>
      <c r="E69" s="144"/>
      <c r="F69" s="148">
        <v>12</v>
      </c>
      <c r="G69" s="145"/>
      <c r="H69" s="145"/>
      <c r="I69" s="145"/>
      <c r="J69" s="145"/>
      <c r="K69" s="145"/>
      <c r="L69" s="145"/>
      <c r="M69" s="146">
        <f t="shared" si="12"/>
        <v>70964.4</v>
      </c>
      <c r="N69" s="147">
        <f t="shared" si="13"/>
        <v>5913.7</v>
      </c>
      <c r="O69" s="147">
        <v>0.65</v>
      </c>
      <c r="P69" s="73" t="s">
        <v>226</v>
      </c>
    </row>
    <row r="70" spans="2:16" s="45" customFormat="1" ht="36">
      <c r="B70" s="115">
        <v>60</v>
      </c>
      <c r="C70" s="41" t="s">
        <v>227</v>
      </c>
      <c r="D70" s="139"/>
      <c r="E70" s="139"/>
      <c r="F70" s="140"/>
      <c r="G70" s="141"/>
      <c r="H70" s="141"/>
      <c r="I70" s="141"/>
      <c r="J70" s="141"/>
      <c r="K70" s="141"/>
      <c r="L70" s="141"/>
      <c r="M70" s="142">
        <f>N70*12</f>
        <v>6550.5599999999995</v>
      </c>
      <c r="N70" s="153">
        <f>O70*9098</f>
        <v>545.88</v>
      </c>
      <c r="O70" s="143">
        <v>0.06</v>
      </c>
      <c r="P70" s="154" t="s">
        <v>228</v>
      </c>
    </row>
    <row r="71" spans="2:16" s="45" customFormat="1" ht="12.75">
      <c r="B71" s="137">
        <v>61</v>
      </c>
      <c r="C71" s="155" t="s">
        <v>272</v>
      </c>
      <c r="D71" s="144"/>
      <c r="E71" s="144"/>
      <c r="F71" s="148"/>
      <c r="G71" s="145"/>
      <c r="H71" s="145"/>
      <c r="I71" s="145"/>
      <c r="J71" s="145"/>
      <c r="K71" s="145"/>
      <c r="L71" s="145"/>
      <c r="M71" s="146"/>
      <c r="N71" s="147"/>
      <c r="O71" s="147"/>
      <c r="P71" s="162" t="s">
        <v>207</v>
      </c>
    </row>
    <row r="72" spans="2:16" s="45" customFormat="1" ht="30.75" customHeight="1" thickBot="1">
      <c r="B72" s="117">
        <v>62</v>
      </c>
      <c r="C72" s="119" t="s">
        <v>179</v>
      </c>
      <c r="D72" s="156"/>
      <c r="E72" s="156"/>
      <c r="F72" s="156"/>
      <c r="G72" s="157"/>
      <c r="H72" s="157"/>
      <c r="I72" s="157"/>
      <c r="J72" s="157"/>
      <c r="K72" s="157"/>
      <c r="L72" s="157"/>
      <c r="M72" s="158">
        <f t="shared" si="12"/>
        <v>6550.5599999999995</v>
      </c>
      <c r="N72" s="159">
        <f t="shared" si="13"/>
        <v>545.88</v>
      </c>
      <c r="O72" s="160">
        <v>0.06</v>
      </c>
      <c r="P72" s="161" t="s">
        <v>207</v>
      </c>
    </row>
    <row r="73" spans="2:16" s="45" customFormat="1" ht="13.5" customHeight="1" thickBot="1">
      <c r="B73" s="173" t="s">
        <v>48</v>
      </c>
      <c r="C73" s="174"/>
      <c r="D73" s="110"/>
      <c r="E73" s="110"/>
      <c r="F73" s="110"/>
      <c r="G73" s="111">
        <f aca="true" t="shared" si="14" ref="G73:L73">SUM(G63:G67)</f>
        <v>0</v>
      </c>
      <c r="H73" s="112">
        <f t="shared" si="14"/>
        <v>0</v>
      </c>
      <c r="I73" s="112">
        <f t="shared" si="14"/>
        <v>0</v>
      </c>
      <c r="J73" s="112">
        <f t="shared" si="14"/>
        <v>0</v>
      </c>
      <c r="K73" s="112">
        <f t="shared" si="14"/>
        <v>0</v>
      </c>
      <c r="L73" s="113">
        <f t="shared" si="14"/>
        <v>0</v>
      </c>
      <c r="M73" s="114">
        <f>SUM(M63:M72)</f>
        <v>880030.2960000002</v>
      </c>
      <c r="N73" s="67">
        <f>SUM(N63:N72)</f>
        <v>73335.85800000001</v>
      </c>
      <c r="O73" s="67">
        <f>SUM(O63:O72)</f>
        <v>8.060657067487362</v>
      </c>
      <c r="P73" s="68"/>
    </row>
    <row r="74" spans="2:16" ht="16.5" customHeight="1" thickBot="1" thickTop="1">
      <c r="B74" s="175" t="s">
        <v>94</v>
      </c>
      <c r="C74" s="176"/>
      <c r="D74" s="108"/>
      <c r="E74" s="108"/>
      <c r="F74" s="109"/>
      <c r="G74" s="26">
        <f aca="true" t="shared" si="15" ref="G74:O74">G31+G61+G73</f>
        <v>427175.2103972228</v>
      </c>
      <c r="H74" s="26">
        <f t="shared" si="15"/>
        <v>84456.1501743692</v>
      </c>
      <c r="I74" s="26">
        <f t="shared" si="15"/>
        <v>2044.0759200000002</v>
      </c>
      <c r="J74" s="26">
        <f t="shared" si="15"/>
        <v>406771.08439246635</v>
      </c>
      <c r="K74" s="26">
        <f t="shared" si="15"/>
        <v>96646.88469282622</v>
      </c>
      <c r="L74" s="26">
        <f t="shared" si="15"/>
        <v>85456.11016648453</v>
      </c>
      <c r="M74" s="107">
        <f t="shared" si="15"/>
        <v>1982579.8117433693</v>
      </c>
      <c r="N74" s="106">
        <f t="shared" si="15"/>
        <v>165214.98431194742</v>
      </c>
      <c r="O74" s="105">
        <f t="shared" si="15"/>
        <v>18.159483876890242</v>
      </c>
      <c r="P74" s="68"/>
    </row>
    <row r="75" spans="2:16" ht="18.75" customHeight="1" thickTop="1">
      <c r="B75" s="27"/>
      <c r="C75" s="177" t="s">
        <v>233</v>
      </c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8"/>
    </row>
    <row r="76" spans="2:16" ht="18" customHeight="1">
      <c r="B76" s="179" t="s">
        <v>202</v>
      </c>
      <c r="C76" s="180"/>
      <c r="D76" s="22"/>
      <c r="E76" s="22"/>
      <c r="F76" s="22"/>
      <c r="G76" s="25"/>
      <c r="H76" s="25"/>
      <c r="I76" s="25"/>
      <c r="J76" s="25"/>
      <c r="K76" s="25"/>
      <c r="L76" s="25"/>
      <c r="M76" s="24"/>
      <c r="N76" s="48">
        <v>30</v>
      </c>
      <c r="O76" s="57"/>
      <c r="P76" s="181" t="s">
        <v>235</v>
      </c>
    </row>
    <row r="77" spans="2:16" ht="15.75" customHeight="1">
      <c r="B77" s="179" t="s">
        <v>201</v>
      </c>
      <c r="C77" s="180"/>
      <c r="D77" s="22"/>
      <c r="E77" s="22"/>
      <c r="F77" s="22"/>
      <c r="G77" s="25"/>
      <c r="H77" s="25"/>
      <c r="I77" s="25"/>
      <c r="J77" s="25"/>
      <c r="K77" s="25"/>
      <c r="L77" s="25"/>
      <c r="M77" s="24"/>
      <c r="N77" s="48">
        <v>30</v>
      </c>
      <c r="O77" s="57"/>
      <c r="P77" s="182"/>
    </row>
    <row r="78" spans="2:16" ht="12.75" customHeight="1">
      <c r="B78" s="179" t="s">
        <v>234</v>
      </c>
      <c r="C78" s="184"/>
      <c r="D78" s="180"/>
      <c r="E78" s="22"/>
      <c r="F78" s="22"/>
      <c r="G78" s="25"/>
      <c r="H78" s="25"/>
      <c r="I78" s="25"/>
      <c r="J78" s="25"/>
      <c r="K78" s="25"/>
      <c r="L78" s="25"/>
      <c r="M78" s="24"/>
      <c r="N78" s="48">
        <v>15</v>
      </c>
      <c r="O78" s="57"/>
      <c r="P78" s="183"/>
    </row>
    <row r="79" spans="2:15" ht="12.75">
      <c r="B79" s="49"/>
      <c r="C79" s="50"/>
      <c r="D79" s="50"/>
      <c r="E79" s="50"/>
      <c r="F79" s="50"/>
      <c r="G79" s="51"/>
      <c r="H79" s="51"/>
      <c r="I79" s="51"/>
      <c r="J79" s="51"/>
      <c r="K79" s="51"/>
      <c r="L79" s="51"/>
      <c r="M79" s="52"/>
      <c r="N79" s="54"/>
      <c r="O79" s="53"/>
    </row>
    <row r="80" spans="2:15" ht="12.75">
      <c r="B80" s="49"/>
      <c r="C80" s="50"/>
      <c r="D80" s="50"/>
      <c r="E80" s="50"/>
      <c r="F80" s="50"/>
      <c r="G80" s="51"/>
      <c r="H80" s="51"/>
      <c r="I80" s="51"/>
      <c r="J80" s="51"/>
      <c r="K80" s="51"/>
      <c r="L80" s="51"/>
      <c r="M80" s="52"/>
      <c r="N80" s="54"/>
      <c r="O80" s="53"/>
    </row>
    <row r="81" spans="3:13" ht="0.75" customHeight="1">
      <c r="C81" s="185" t="s">
        <v>95</v>
      </c>
      <c r="D81" s="185"/>
      <c r="E81" s="185"/>
      <c r="F81" s="185"/>
      <c r="G81" s="185"/>
      <c r="H81" s="185"/>
      <c r="I81" s="185"/>
      <c r="J81" s="185"/>
      <c r="K81" s="185"/>
      <c r="L81" s="185"/>
      <c r="M81" s="185"/>
    </row>
    <row r="82" spans="3:13" ht="24" customHeight="1" hidden="1">
      <c r="C82" s="186" t="s">
        <v>96</v>
      </c>
      <c r="D82" s="186"/>
      <c r="E82" s="187">
        <f>G74</f>
        <v>427175.2103972228</v>
      </c>
      <c r="F82" s="187"/>
      <c r="G82" s="186" t="s">
        <v>97</v>
      </c>
      <c r="H82" s="186"/>
      <c r="I82" s="186"/>
      <c r="J82" s="187">
        <f>J74</f>
        <v>406771.08439246635</v>
      </c>
      <c r="K82" s="187"/>
      <c r="M82" s="37"/>
    </row>
    <row r="83" spans="3:15" ht="24.75" customHeight="1" hidden="1">
      <c r="C83" s="186" t="s">
        <v>98</v>
      </c>
      <c r="D83" s="186"/>
      <c r="E83" s="187">
        <f>H74</f>
        <v>84456.1501743692</v>
      </c>
      <c r="F83" s="187"/>
      <c r="G83" s="186" t="s">
        <v>99</v>
      </c>
      <c r="H83" s="186"/>
      <c r="I83" s="186"/>
      <c r="J83" s="187">
        <f>K74</f>
        <v>96646.88469282622</v>
      </c>
      <c r="K83" s="187"/>
      <c r="M83" s="37"/>
      <c r="O83" s="37"/>
    </row>
    <row r="84" spans="3:11" ht="25.5" customHeight="1" hidden="1">
      <c r="C84" s="186" t="s">
        <v>100</v>
      </c>
      <c r="D84" s="186"/>
      <c r="E84" s="187">
        <f>I74</f>
        <v>2044.0759200000002</v>
      </c>
      <c r="F84" s="187"/>
      <c r="G84" s="186" t="s">
        <v>101</v>
      </c>
      <c r="H84" s="186"/>
      <c r="I84" s="186"/>
      <c r="J84" s="187">
        <f>L74</f>
        <v>85456.11016648453</v>
      </c>
      <c r="K84" s="187"/>
    </row>
    <row r="85" spans="3:13" ht="19.5" customHeight="1" hidden="1">
      <c r="C85" s="4"/>
      <c r="E85" s="5"/>
      <c r="G85" s="186" t="s">
        <v>102</v>
      </c>
      <c r="H85" s="186"/>
      <c r="I85" s="186"/>
      <c r="J85" s="187">
        <f>M74</f>
        <v>1982579.8117433693</v>
      </c>
      <c r="K85" s="187"/>
      <c r="M85" s="37">
        <f>N74-N73</f>
        <v>91879.12631194742</v>
      </c>
    </row>
    <row r="86" ht="15" customHeight="1" hidden="1"/>
    <row r="87" ht="12" hidden="1">
      <c r="N87">
        <f>12000/9098</f>
        <v>1.3189712024620797</v>
      </c>
    </row>
    <row r="88" ht="12" hidden="1"/>
    <row r="89" spans="4:6" ht="12" hidden="1">
      <c r="D89">
        <f>1.1*30*2</f>
        <v>66</v>
      </c>
      <c r="E89">
        <f>8*3500</f>
        <v>28000</v>
      </c>
      <c r="F89">
        <f>N65+N66</f>
        <v>26202.24</v>
      </c>
    </row>
    <row r="90" spans="4:6" ht="12" hidden="1">
      <c r="D90">
        <f>D89*288.99</f>
        <v>19073.34</v>
      </c>
      <c r="F90">
        <f>F89+N60</f>
        <v>28070.46366492172</v>
      </c>
    </row>
    <row r="91" spans="4:5" ht="12" hidden="1">
      <c r="D91">
        <f>D90*0.18</f>
        <v>3433.2012</v>
      </c>
      <c r="E91">
        <f>3500/9098</f>
        <v>0.3846999340514399</v>
      </c>
    </row>
    <row r="92" ht="12" hidden="1">
      <c r="D92">
        <f>D90+D91</f>
        <v>22506.5412</v>
      </c>
    </row>
    <row r="93" spans="4:6" ht="12" hidden="1">
      <c r="D93">
        <f>D92/9098</f>
        <v>2.4737899758188613</v>
      </c>
      <c r="F93">
        <f>60*198</f>
        <v>11880</v>
      </c>
    </row>
    <row r="94" ht="12" hidden="1">
      <c r="F94">
        <f>F93/9098</f>
        <v>1.3057814904374587</v>
      </c>
    </row>
    <row r="95" ht="12" hidden="1">
      <c r="F95">
        <f>1.3*9098</f>
        <v>11827.4</v>
      </c>
    </row>
    <row r="96" ht="12" hidden="1"/>
    <row r="97" ht="12" hidden="1"/>
    <row r="98" spans="5:6" ht="12" hidden="1">
      <c r="E98">
        <f>1*9098</f>
        <v>9098</v>
      </c>
      <c r="F98">
        <v>0.65</v>
      </c>
    </row>
    <row r="99" spans="3:10" ht="12" hidden="1">
      <c r="C99" s="189" t="s">
        <v>192</v>
      </c>
      <c r="D99" s="189"/>
      <c r="E99" s="189"/>
      <c r="F99" s="189"/>
      <c r="G99" s="189"/>
      <c r="H99" s="189"/>
      <c r="I99" s="189"/>
      <c r="J99" s="189"/>
    </row>
    <row r="100" spans="3:10" ht="15" customHeight="1" hidden="1">
      <c r="C100" s="188" t="s">
        <v>96</v>
      </c>
      <c r="D100" s="188"/>
      <c r="E100" s="36">
        <f>E82/12</f>
        <v>35597.93419976856</v>
      </c>
      <c r="F100" s="36"/>
      <c r="G100" s="188" t="s">
        <v>97</v>
      </c>
      <c r="H100" s="188"/>
      <c r="I100" s="188"/>
      <c r="J100" s="36">
        <f>J82/12</f>
        <v>33897.590366038865</v>
      </c>
    </row>
    <row r="101" spans="3:10" ht="15" customHeight="1" hidden="1">
      <c r="C101" s="188" t="s">
        <v>98</v>
      </c>
      <c r="D101" s="188"/>
      <c r="E101" s="36">
        <f>E83/12</f>
        <v>7038.0125145307675</v>
      </c>
      <c r="F101" s="36"/>
      <c r="G101" s="188" t="s">
        <v>99</v>
      </c>
      <c r="H101" s="188"/>
      <c r="I101" s="188"/>
      <c r="J101" s="36">
        <f>J83/12</f>
        <v>8053.907057735519</v>
      </c>
    </row>
    <row r="102" spans="3:10" ht="15" customHeight="1" hidden="1">
      <c r="C102" s="188" t="s">
        <v>100</v>
      </c>
      <c r="D102" s="188"/>
      <c r="E102" s="36">
        <f>E84/12</f>
        <v>170.33966</v>
      </c>
      <c r="F102" s="36"/>
      <c r="G102" s="188" t="s">
        <v>101</v>
      </c>
      <c r="H102" s="188"/>
      <c r="I102" s="188"/>
      <c r="J102" s="36">
        <f>J84/12</f>
        <v>7121.342513873711</v>
      </c>
    </row>
    <row r="103" spans="3:11" ht="15">
      <c r="C103" s="36"/>
      <c r="D103" s="36"/>
      <c r="E103" s="36"/>
      <c r="F103" s="36"/>
      <c r="G103" s="188" t="s">
        <v>102</v>
      </c>
      <c r="H103" s="188"/>
      <c r="I103" s="188"/>
      <c r="J103" s="36">
        <f>J85/12</f>
        <v>165214.98431194745</v>
      </c>
      <c r="K103" s="40"/>
    </row>
    <row r="106" ht="12">
      <c r="H106">
        <f>15000+45000+20000+18000+40000</f>
        <v>138000</v>
      </c>
    </row>
    <row r="107" ht="12">
      <c r="H107">
        <f>H106*30.2%</f>
        <v>41676</v>
      </c>
    </row>
    <row r="108" spans="8:9" ht="12">
      <c r="H108">
        <f>H106+H107</f>
        <v>179676</v>
      </c>
      <c r="I108" s="37"/>
    </row>
  </sheetData>
  <sheetProtection formatCells="0" formatColumns="0" formatRows="0" insertColumns="0" insertRows="0" insertHyperlinks="0" deleteColumns="0" deleteRows="0" sort="0" autoFilter="0" pivotTables="0"/>
  <mergeCells count="38">
    <mergeCell ref="J84:K84"/>
    <mergeCell ref="B77:C77"/>
    <mergeCell ref="B5:P5"/>
    <mergeCell ref="B32:P32"/>
    <mergeCell ref="B62:P62"/>
    <mergeCell ref="C75:P75"/>
    <mergeCell ref="P76:P78"/>
    <mergeCell ref="B78:D78"/>
    <mergeCell ref="B31:F31"/>
    <mergeCell ref="B61:F61"/>
    <mergeCell ref="B73:C73"/>
    <mergeCell ref="B74:C74"/>
    <mergeCell ref="B76:C76"/>
    <mergeCell ref="G85:I85"/>
    <mergeCell ref="C83:D83"/>
    <mergeCell ref="E83:F83"/>
    <mergeCell ref="G83:I83"/>
    <mergeCell ref="C84:D84"/>
    <mergeCell ref="G102:I102"/>
    <mergeCell ref="C81:M81"/>
    <mergeCell ref="C82:D82"/>
    <mergeCell ref="E82:F82"/>
    <mergeCell ref="G82:I82"/>
    <mergeCell ref="J82:K82"/>
    <mergeCell ref="J85:K85"/>
    <mergeCell ref="J83:K83"/>
    <mergeCell ref="E84:F84"/>
    <mergeCell ref="G84:I84"/>
    <mergeCell ref="B3:P3"/>
    <mergeCell ref="B2:P2"/>
    <mergeCell ref="B1:P1"/>
    <mergeCell ref="G103:I103"/>
    <mergeCell ref="C100:D100"/>
    <mergeCell ref="C101:D101"/>
    <mergeCell ref="C102:D102"/>
    <mergeCell ref="C99:J99"/>
    <mergeCell ref="G100:I100"/>
    <mergeCell ref="G101:I101"/>
  </mergeCells>
  <printOptions/>
  <pageMargins left="0.35" right="0.35" top="0.35" bottom="0.161875" header="0.3" footer="0.3"/>
  <pageSetup fitToHeight="0" fitToWidth="1" horizontalDpi="600" verticalDpi="600" orientation="landscape" paperSize="9" scale="68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B37">
      <selection activeCell="K33" sqref="K33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  <col min="8" max="12" width="11.421875" style="0" bestFit="1" customWidth="1"/>
    <col min="13" max="13" width="12.00390625" style="0" bestFit="1" customWidth="1"/>
  </cols>
  <sheetData>
    <row r="1" spans="2:7" ht="27.75" customHeight="1">
      <c r="B1" s="195" t="s">
        <v>103</v>
      </c>
      <c r="C1" s="195"/>
      <c r="D1" s="195"/>
      <c r="E1" s="195"/>
      <c r="F1" s="195"/>
      <c r="G1" s="195"/>
    </row>
    <row r="3" spans="1:12" ht="36">
      <c r="A3" s="6"/>
      <c r="B3" s="7" t="s">
        <v>0</v>
      </c>
      <c r="C3" s="7" t="s">
        <v>104</v>
      </c>
      <c r="D3" s="7" t="s">
        <v>105</v>
      </c>
      <c r="E3" s="7" t="s">
        <v>3</v>
      </c>
      <c r="F3" s="7" t="s">
        <v>106</v>
      </c>
      <c r="G3" s="28" t="s">
        <v>11</v>
      </c>
      <c r="H3" s="32" t="s">
        <v>192</v>
      </c>
      <c r="I3" t="s">
        <v>193</v>
      </c>
      <c r="J3" t="s">
        <v>194</v>
      </c>
      <c r="K3" t="s">
        <v>195</v>
      </c>
      <c r="L3" t="s">
        <v>196</v>
      </c>
    </row>
    <row r="4" spans="2:8" ht="15">
      <c r="B4" s="194" t="s">
        <v>107</v>
      </c>
      <c r="C4" s="194"/>
      <c r="D4" s="194"/>
      <c r="E4" s="194"/>
      <c r="F4" s="194"/>
      <c r="G4" s="194"/>
      <c r="H4" s="32"/>
    </row>
    <row r="5" spans="2:13" ht="12">
      <c r="B5" s="8">
        <v>1</v>
      </c>
      <c r="C5" s="10" t="s">
        <v>108</v>
      </c>
      <c r="D5" s="10" t="s">
        <v>109</v>
      </c>
      <c r="E5" s="11">
        <v>3149.54322</v>
      </c>
      <c r="F5" s="12">
        <v>94.22000000000001</v>
      </c>
      <c r="G5" s="29">
        <f aca="true" t="shared" si="0" ref="G5:G26">E5*F5</f>
        <v>296749.96218840004</v>
      </c>
      <c r="H5" s="32">
        <f>G5/12</f>
        <v>24729.163515700002</v>
      </c>
      <c r="I5" s="33">
        <f>H5+H23</f>
        <v>24830.744413300003</v>
      </c>
      <c r="J5" s="33">
        <f>H8+H9+H13+H14+H17+H18+H19+H20+H21+H22+H24</f>
        <v>9152.993521728002</v>
      </c>
      <c r="K5" s="33">
        <f>H25+H26</f>
        <v>2333.0490689854273</v>
      </c>
      <c r="L5" s="33">
        <f>H7+H6+H15+H16</f>
        <v>31194.91842678557</v>
      </c>
      <c r="M5" s="33">
        <f>I5+J5+K5+L5</f>
        <v>67511.705430799</v>
      </c>
    </row>
    <row r="6" spans="2:13" ht="12">
      <c r="B6" s="9">
        <v>2</v>
      </c>
      <c r="C6" s="1" t="s">
        <v>110</v>
      </c>
      <c r="D6" s="1" t="s">
        <v>109</v>
      </c>
      <c r="E6" s="2">
        <v>104.727</v>
      </c>
      <c r="F6" s="3">
        <v>111.77600000000001</v>
      </c>
      <c r="G6" s="30">
        <f t="shared" si="0"/>
        <v>11705.965152</v>
      </c>
      <c r="H6" s="32">
        <f aca="true" t="shared" si="1" ref="H6:H26">G6/12</f>
        <v>975.497096</v>
      </c>
      <c r="I6" s="34">
        <v>15000</v>
      </c>
      <c r="J6" s="34">
        <v>45000</v>
      </c>
      <c r="K6" s="34">
        <v>18000</v>
      </c>
      <c r="L6" s="34">
        <v>20000</v>
      </c>
      <c r="M6" s="34">
        <f>I6+J6+K6+L6</f>
        <v>98000</v>
      </c>
    </row>
    <row r="7" spans="2:13" ht="24">
      <c r="B7" s="9">
        <v>3</v>
      </c>
      <c r="C7" s="1" t="s">
        <v>111</v>
      </c>
      <c r="D7" s="1" t="s">
        <v>109</v>
      </c>
      <c r="E7" s="2">
        <v>7.5264</v>
      </c>
      <c r="F7" s="3">
        <v>126.06160000000001</v>
      </c>
      <c r="G7" s="30">
        <f t="shared" si="0"/>
        <v>948.7900262400001</v>
      </c>
      <c r="H7" s="32">
        <f t="shared" si="1"/>
        <v>79.06583552000001</v>
      </c>
      <c r="M7" s="35">
        <f>M5-M6</f>
        <v>-30488.294569200996</v>
      </c>
    </row>
    <row r="8" spans="2:8" ht="12">
      <c r="B8" s="9">
        <v>4</v>
      </c>
      <c r="C8" s="1" t="s">
        <v>112</v>
      </c>
      <c r="D8" s="1" t="s">
        <v>109</v>
      </c>
      <c r="E8" s="2">
        <v>12.72</v>
      </c>
      <c r="F8" s="3">
        <v>111.77600000000001</v>
      </c>
      <c r="G8" s="30">
        <f t="shared" si="0"/>
        <v>1421.7907200000002</v>
      </c>
      <c r="H8" s="32">
        <f t="shared" si="1"/>
        <v>118.48256000000002</v>
      </c>
    </row>
    <row r="9" spans="2:8" ht="12">
      <c r="B9" s="9">
        <v>5</v>
      </c>
      <c r="C9" s="1" t="s">
        <v>113</v>
      </c>
      <c r="D9" s="1" t="s">
        <v>109</v>
      </c>
      <c r="E9" s="2">
        <v>11.12</v>
      </c>
      <c r="F9" s="3">
        <v>126.06160000000001</v>
      </c>
      <c r="G9" s="30">
        <f t="shared" si="0"/>
        <v>1401.804992</v>
      </c>
      <c r="H9" s="32">
        <f t="shared" si="1"/>
        <v>116.81708266666668</v>
      </c>
    </row>
    <row r="10" spans="2:8" ht="24">
      <c r="B10" s="9">
        <v>6</v>
      </c>
      <c r="C10" s="1" t="s">
        <v>114</v>
      </c>
      <c r="D10" s="1" t="s">
        <v>109</v>
      </c>
      <c r="E10" s="2">
        <v>17.28</v>
      </c>
      <c r="F10" s="3">
        <v>126.06160000000001</v>
      </c>
      <c r="G10" s="30">
        <f t="shared" si="0"/>
        <v>2178.3444480000003</v>
      </c>
      <c r="H10" s="32">
        <f t="shared" si="1"/>
        <v>181.52870400000003</v>
      </c>
    </row>
    <row r="11" spans="2:8" ht="24">
      <c r="B11" s="9">
        <v>7</v>
      </c>
      <c r="C11" s="1" t="s">
        <v>115</v>
      </c>
      <c r="D11" s="1" t="s">
        <v>109</v>
      </c>
      <c r="E11" s="2">
        <v>25.2</v>
      </c>
      <c r="F11" s="3">
        <v>145.3256</v>
      </c>
      <c r="G11" s="30">
        <f t="shared" si="0"/>
        <v>3662.20512</v>
      </c>
      <c r="H11" s="32">
        <f t="shared" si="1"/>
        <v>305.18376</v>
      </c>
    </row>
    <row r="12" spans="2:8" ht="24">
      <c r="B12" s="9">
        <v>8</v>
      </c>
      <c r="C12" s="1" t="s">
        <v>116</v>
      </c>
      <c r="D12" s="1" t="s">
        <v>109</v>
      </c>
      <c r="E12" s="2">
        <v>31.2</v>
      </c>
      <c r="F12" s="3">
        <v>194.54960000000003</v>
      </c>
      <c r="G12" s="30">
        <f t="shared" si="0"/>
        <v>6069.947520000001</v>
      </c>
      <c r="H12" s="32">
        <f t="shared" si="1"/>
        <v>505.82896000000005</v>
      </c>
    </row>
    <row r="13" spans="2:8" ht="12">
      <c r="B13" s="9">
        <v>9</v>
      </c>
      <c r="C13" s="1" t="s">
        <v>117</v>
      </c>
      <c r="D13" s="1" t="s">
        <v>109</v>
      </c>
      <c r="E13" s="2">
        <v>16.128</v>
      </c>
      <c r="F13" s="3">
        <v>94.22000000000001</v>
      </c>
      <c r="G13" s="30">
        <f t="shared" si="0"/>
        <v>1519.5801600000002</v>
      </c>
      <c r="H13" s="32">
        <f t="shared" si="1"/>
        <v>126.63168000000002</v>
      </c>
    </row>
    <row r="14" spans="2:8" ht="12">
      <c r="B14" s="9">
        <v>10</v>
      </c>
      <c r="C14" s="1" t="s">
        <v>118</v>
      </c>
      <c r="D14" s="1" t="s">
        <v>109</v>
      </c>
      <c r="E14" s="2">
        <v>50.5092</v>
      </c>
      <c r="F14" s="3">
        <v>111.77600000000001</v>
      </c>
      <c r="G14" s="30">
        <f t="shared" si="0"/>
        <v>5645.7163392</v>
      </c>
      <c r="H14" s="32">
        <f t="shared" si="1"/>
        <v>470.4763616</v>
      </c>
    </row>
    <row r="15" spans="2:8" ht="24">
      <c r="B15" s="9">
        <v>11</v>
      </c>
      <c r="C15" s="1" t="s">
        <v>119</v>
      </c>
      <c r="D15" s="1" t="s">
        <v>109</v>
      </c>
      <c r="E15" s="2">
        <v>3390.98068668</v>
      </c>
      <c r="F15" s="3">
        <v>102.21120000000002</v>
      </c>
      <c r="G15" s="30">
        <f t="shared" si="0"/>
        <v>346596.2051623869</v>
      </c>
      <c r="H15" s="32">
        <f t="shared" si="1"/>
        <v>28883.017096865573</v>
      </c>
    </row>
    <row r="16" spans="2:8" ht="24">
      <c r="B16" s="9">
        <v>12</v>
      </c>
      <c r="C16" s="1" t="s">
        <v>120</v>
      </c>
      <c r="D16" s="1" t="s">
        <v>109</v>
      </c>
      <c r="E16" s="2">
        <v>119.688</v>
      </c>
      <c r="F16" s="3">
        <v>126.06160000000001</v>
      </c>
      <c r="G16" s="30">
        <f t="shared" si="0"/>
        <v>15088.060780800002</v>
      </c>
      <c r="H16" s="32">
        <f t="shared" si="1"/>
        <v>1257.3383984000002</v>
      </c>
    </row>
    <row r="17" spans="2:8" ht="12">
      <c r="B17" s="9">
        <v>13</v>
      </c>
      <c r="C17" s="1" t="s">
        <v>121</v>
      </c>
      <c r="D17" s="1" t="s">
        <v>109</v>
      </c>
      <c r="E17" s="2">
        <v>16</v>
      </c>
      <c r="F17" s="3">
        <v>111.77600000000001</v>
      </c>
      <c r="G17" s="30">
        <f t="shared" si="0"/>
        <v>1788.4160000000002</v>
      </c>
      <c r="H17" s="32">
        <f t="shared" si="1"/>
        <v>149.03466666666668</v>
      </c>
    </row>
    <row r="18" spans="2:8" ht="12">
      <c r="B18" s="9">
        <v>14</v>
      </c>
      <c r="C18" s="1" t="s">
        <v>122</v>
      </c>
      <c r="D18" s="1" t="s">
        <v>109</v>
      </c>
      <c r="E18" s="2">
        <v>37</v>
      </c>
      <c r="F18" s="3">
        <v>102.21120000000002</v>
      </c>
      <c r="G18" s="30">
        <f t="shared" si="0"/>
        <v>3781.8144000000007</v>
      </c>
      <c r="H18" s="32">
        <f t="shared" si="1"/>
        <v>315.1512000000001</v>
      </c>
    </row>
    <row r="19" spans="2:8" ht="12">
      <c r="B19" s="9">
        <v>15</v>
      </c>
      <c r="C19" s="1" t="s">
        <v>123</v>
      </c>
      <c r="D19" s="1" t="s">
        <v>109</v>
      </c>
      <c r="E19" s="2">
        <v>61.18</v>
      </c>
      <c r="F19" s="3">
        <v>111.77600000000001</v>
      </c>
      <c r="G19" s="30">
        <f t="shared" si="0"/>
        <v>6838.455680000001</v>
      </c>
      <c r="H19" s="32">
        <f t="shared" si="1"/>
        <v>569.8713066666668</v>
      </c>
    </row>
    <row r="20" spans="2:8" ht="12">
      <c r="B20" s="9">
        <v>16</v>
      </c>
      <c r="C20" s="1" t="s">
        <v>124</v>
      </c>
      <c r="D20" s="1" t="s">
        <v>109</v>
      </c>
      <c r="E20" s="2">
        <v>522.33984</v>
      </c>
      <c r="F20" s="3">
        <v>126.06160000000001</v>
      </c>
      <c r="G20" s="30">
        <f t="shared" si="0"/>
        <v>65846.99597414401</v>
      </c>
      <c r="H20" s="32">
        <f t="shared" si="1"/>
        <v>5487.249664512001</v>
      </c>
    </row>
    <row r="21" spans="2:8" ht="12">
      <c r="B21" s="9">
        <v>17</v>
      </c>
      <c r="C21" s="1" t="s">
        <v>125</v>
      </c>
      <c r="D21" s="1" t="s">
        <v>109</v>
      </c>
      <c r="E21" s="2">
        <v>2.06</v>
      </c>
      <c r="F21" s="3">
        <v>145.3256</v>
      </c>
      <c r="G21" s="30">
        <f t="shared" si="0"/>
        <v>299.370736</v>
      </c>
      <c r="H21" s="32">
        <f t="shared" si="1"/>
        <v>24.947561333333336</v>
      </c>
    </row>
    <row r="22" spans="2:8" ht="12">
      <c r="B22" s="9">
        <v>18</v>
      </c>
      <c r="C22" s="1" t="s">
        <v>126</v>
      </c>
      <c r="D22" s="1" t="s">
        <v>109</v>
      </c>
      <c r="E22" s="2">
        <v>2.06</v>
      </c>
      <c r="F22" s="3">
        <v>169.3048</v>
      </c>
      <c r="G22" s="30">
        <f t="shared" si="0"/>
        <v>348.767888</v>
      </c>
      <c r="H22" s="32">
        <f t="shared" si="1"/>
        <v>29.06399066666667</v>
      </c>
    </row>
    <row r="23" spans="2:8" ht="12">
      <c r="B23" s="9">
        <v>19</v>
      </c>
      <c r="C23" s="1" t="s">
        <v>127</v>
      </c>
      <c r="D23" s="1" t="s">
        <v>109</v>
      </c>
      <c r="E23" s="2">
        <v>11.926</v>
      </c>
      <c r="F23" s="3">
        <v>102.21120000000002</v>
      </c>
      <c r="G23" s="30">
        <f t="shared" si="0"/>
        <v>1218.9707712000002</v>
      </c>
      <c r="H23" s="32">
        <f t="shared" si="1"/>
        <v>101.58089760000001</v>
      </c>
    </row>
    <row r="24" spans="2:8" ht="24">
      <c r="B24" s="9">
        <v>20</v>
      </c>
      <c r="C24" s="1" t="s">
        <v>128</v>
      </c>
      <c r="D24" s="1" t="s">
        <v>129</v>
      </c>
      <c r="E24" s="2">
        <v>144.11232</v>
      </c>
      <c r="F24" s="3">
        <v>145.3256</v>
      </c>
      <c r="G24" s="30">
        <f t="shared" si="0"/>
        <v>20943.209371392004</v>
      </c>
      <c r="H24" s="32">
        <f t="shared" si="1"/>
        <v>1745.2674476160003</v>
      </c>
    </row>
    <row r="25" spans="2:8" ht="24">
      <c r="B25" s="9">
        <v>21</v>
      </c>
      <c r="C25" s="1" t="s">
        <v>130</v>
      </c>
      <c r="D25" s="1" t="s">
        <v>109</v>
      </c>
      <c r="E25" s="2">
        <v>84</v>
      </c>
      <c r="F25" s="3">
        <v>111.77600000000001</v>
      </c>
      <c r="G25" s="30">
        <f t="shared" si="0"/>
        <v>9389.184000000001</v>
      </c>
      <c r="H25" s="32">
        <f t="shared" si="1"/>
        <v>782.4320000000001</v>
      </c>
    </row>
    <row r="26" spans="2:8" ht="24">
      <c r="B26" s="9">
        <v>22</v>
      </c>
      <c r="C26" s="1" t="s">
        <v>131</v>
      </c>
      <c r="D26" s="1" t="s">
        <v>109</v>
      </c>
      <c r="E26" s="2">
        <v>147.60565333</v>
      </c>
      <c r="F26" s="3">
        <v>126.06160000000001</v>
      </c>
      <c r="G26" s="30">
        <f t="shared" si="0"/>
        <v>18607.40482782513</v>
      </c>
      <c r="H26" s="32">
        <f t="shared" si="1"/>
        <v>1550.6170689854273</v>
      </c>
    </row>
    <row r="27" spans="2:8" ht="12.75" thickBot="1">
      <c r="B27" s="191" t="s">
        <v>132</v>
      </c>
      <c r="C27" s="192"/>
      <c r="D27" s="192"/>
      <c r="E27" s="192"/>
      <c r="F27" s="193"/>
      <c r="G27" s="31">
        <f>SUM(G5:G26)</f>
        <v>822050.962257588</v>
      </c>
      <c r="H27" s="31">
        <f>SUM(H5:H26)</f>
        <v>68504.24685479901</v>
      </c>
    </row>
    <row r="28" spans="2:7" ht="15.75" thickBot="1">
      <c r="B28" s="194" t="s">
        <v>133</v>
      </c>
      <c r="C28" s="194"/>
      <c r="D28" s="194"/>
      <c r="E28" s="194"/>
      <c r="F28" s="194"/>
      <c r="G28" s="194"/>
    </row>
    <row r="29" spans="2:8" ht="12">
      <c r="B29" s="8">
        <v>23</v>
      </c>
      <c r="C29" s="10" t="s">
        <v>134</v>
      </c>
      <c r="D29" s="10" t="s">
        <v>135</v>
      </c>
      <c r="E29" s="11">
        <v>0.041232</v>
      </c>
      <c r="F29" s="12">
        <v>68661.9458</v>
      </c>
      <c r="G29" s="29">
        <f aca="true" t="shared" si="2" ref="G29:G44">E29*F29</f>
        <v>2831.0693492256</v>
      </c>
      <c r="H29" s="38">
        <f>G29/12</f>
        <v>235.9224457688</v>
      </c>
    </row>
    <row r="30" spans="2:8" ht="24">
      <c r="B30" s="9">
        <v>24</v>
      </c>
      <c r="C30" s="1" t="s">
        <v>136</v>
      </c>
      <c r="D30" s="1" t="s">
        <v>135</v>
      </c>
      <c r="E30" s="2">
        <v>0.02</v>
      </c>
      <c r="F30" s="3">
        <v>54315.5984</v>
      </c>
      <c r="G30" s="30">
        <f t="shared" si="2"/>
        <v>1086.311968</v>
      </c>
      <c r="H30" s="38">
        <f aca="true" t="shared" si="3" ref="H30:H44">G30/12</f>
        <v>90.52599733333334</v>
      </c>
    </row>
    <row r="31" spans="2:8" ht="12">
      <c r="B31" s="9">
        <v>25</v>
      </c>
      <c r="C31" s="1" t="s">
        <v>137</v>
      </c>
      <c r="D31" s="1" t="s">
        <v>138</v>
      </c>
      <c r="E31" s="2">
        <v>6.15405</v>
      </c>
      <c r="F31" s="3">
        <v>18.522</v>
      </c>
      <c r="G31" s="30">
        <f t="shared" si="2"/>
        <v>113.98531409999998</v>
      </c>
      <c r="H31" s="38">
        <f t="shared" si="3"/>
        <v>9.498776174999998</v>
      </c>
    </row>
    <row r="32" spans="2:8" ht="12">
      <c r="B32" s="9">
        <v>26</v>
      </c>
      <c r="C32" s="1" t="s">
        <v>139</v>
      </c>
      <c r="D32" s="1" t="s">
        <v>140</v>
      </c>
      <c r="E32" s="2">
        <v>324.2711</v>
      </c>
      <c r="F32" s="3">
        <v>23.8336</v>
      </c>
      <c r="G32" s="30">
        <f t="shared" si="2"/>
        <v>7728.5476889599995</v>
      </c>
      <c r="H32" s="38">
        <f t="shared" si="3"/>
        <v>644.0456407466667</v>
      </c>
    </row>
    <row r="33" spans="2:8" ht="12">
      <c r="B33" s="9">
        <v>27</v>
      </c>
      <c r="C33" s="1" t="s">
        <v>141</v>
      </c>
      <c r="D33" s="1" t="s">
        <v>135</v>
      </c>
      <c r="E33" s="2">
        <v>0.0001</v>
      </c>
      <c r="F33" s="3">
        <v>34050.149000000005</v>
      </c>
      <c r="G33" s="30">
        <f t="shared" si="2"/>
        <v>3.4050149000000007</v>
      </c>
      <c r="H33" s="38">
        <f t="shared" si="3"/>
        <v>0.2837512416666667</v>
      </c>
    </row>
    <row r="34" spans="2:8" ht="24">
      <c r="B34" s="9">
        <v>28</v>
      </c>
      <c r="C34" s="1" t="s">
        <v>142</v>
      </c>
      <c r="D34" s="1" t="s">
        <v>138</v>
      </c>
      <c r="E34" s="2">
        <v>2.4</v>
      </c>
      <c r="F34" s="3">
        <v>97.97059999999999</v>
      </c>
      <c r="G34" s="30">
        <f t="shared" si="2"/>
        <v>235.12943999999996</v>
      </c>
      <c r="H34" s="38">
        <f t="shared" si="3"/>
        <v>19.594119999999997</v>
      </c>
    </row>
    <row r="35" spans="2:8" ht="12">
      <c r="B35" s="9">
        <v>29</v>
      </c>
      <c r="C35" s="1" t="s">
        <v>143</v>
      </c>
      <c r="D35" s="1" t="s">
        <v>138</v>
      </c>
      <c r="E35" s="2">
        <v>60</v>
      </c>
      <c r="F35" s="3">
        <v>56.8008</v>
      </c>
      <c r="G35" s="30">
        <f t="shared" si="2"/>
        <v>3408.0480000000002</v>
      </c>
      <c r="H35" s="38">
        <f t="shared" si="3"/>
        <v>284.004</v>
      </c>
    </row>
    <row r="36" spans="2:8" ht="12">
      <c r="B36" s="9">
        <v>30</v>
      </c>
      <c r="C36" s="1" t="s">
        <v>144</v>
      </c>
      <c r="D36" s="1" t="s">
        <v>145</v>
      </c>
      <c r="E36" s="2">
        <v>7.1600418</v>
      </c>
      <c r="F36" s="3">
        <v>3203.2378</v>
      </c>
      <c r="G36" s="30">
        <f t="shared" si="2"/>
        <v>22935.31654334004</v>
      </c>
      <c r="H36" s="38">
        <f t="shared" si="3"/>
        <v>1911.27637861167</v>
      </c>
    </row>
    <row r="37" spans="2:8" ht="12">
      <c r="B37" s="9">
        <v>31</v>
      </c>
      <c r="C37" s="1" t="s">
        <v>146</v>
      </c>
      <c r="D37" s="1" t="s">
        <v>138</v>
      </c>
      <c r="E37" s="2">
        <v>3.256</v>
      </c>
      <c r="F37" s="3">
        <v>148.7346</v>
      </c>
      <c r="G37" s="30">
        <f t="shared" si="2"/>
        <v>484.27985759999996</v>
      </c>
      <c r="H37" s="38">
        <f t="shared" si="3"/>
        <v>40.356654799999994</v>
      </c>
    </row>
    <row r="38" spans="2:8" ht="12">
      <c r="B38" s="9">
        <v>32</v>
      </c>
      <c r="C38" s="1" t="s">
        <v>147</v>
      </c>
      <c r="D38" s="1" t="s">
        <v>138</v>
      </c>
      <c r="E38" s="2">
        <v>3.32112</v>
      </c>
      <c r="F38" s="3">
        <v>29.8508</v>
      </c>
      <c r="G38" s="30">
        <f t="shared" si="2"/>
        <v>99.138088896</v>
      </c>
      <c r="H38" s="38">
        <f t="shared" si="3"/>
        <v>8.261507408</v>
      </c>
    </row>
    <row r="39" spans="2:8" ht="12">
      <c r="B39" s="9">
        <v>33</v>
      </c>
      <c r="C39" s="1" t="s">
        <v>148</v>
      </c>
      <c r="D39" s="1" t="s">
        <v>149</v>
      </c>
      <c r="E39" s="2">
        <v>10.257</v>
      </c>
      <c r="F39" s="3">
        <v>4.4492</v>
      </c>
      <c r="G39" s="30">
        <f t="shared" si="2"/>
        <v>45.635444400000004</v>
      </c>
      <c r="H39" s="38">
        <f t="shared" si="3"/>
        <v>3.8029537</v>
      </c>
    </row>
    <row r="40" spans="2:8" ht="12">
      <c r="B40" s="9">
        <v>34</v>
      </c>
      <c r="C40" s="1" t="s">
        <v>150</v>
      </c>
      <c r="D40" s="1" t="s">
        <v>135</v>
      </c>
      <c r="E40" s="2">
        <v>4E-05</v>
      </c>
      <c r="F40" s="3">
        <v>30719.1388</v>
      </c>
      <c r="G40" s="30">
        <f t="shared" si="2"/>
        <v>1.228765552</v>
      </c>
      <c r="H40" s="38">
        <f t="shared" si="3"/>
        <v>0.10239712933333334</v>
      </c>
    </row>
    <row r="41" spans="2:8" ht="12">
      <c r="B41" s="9">
        <v>35</v>
      </c>
      <c r="C41" s="1" t="s">
        <v>151</v>
      </c>
      <c r="D41" s="1" t="s">
        <v>138</v>
      </c>
      <c r="E41" s="2">
        <v>0.04</v>
      </c>
      <c r="F41" s="3">
        <v>49.5978</v>
      </c>
      <c r="G41" s="30">
        <f t="shared" si="2"/>
        <v>1.9839120000000001</v>
      </c>
      <c r="H41" s="38">
        <f t="shared" si="3"/>
        <v>0.165326</v>
      </c>
    </row>
    <row r="42" spans="2:8" ht="12">
      <c r="B42" s="9">
        <v>36</v>
      </c>
      <c r="C42" s="1" t="s">
        <v>152</v>
      </c>
      <c r="D42" s="1" t="s">
        <v>135</v>
      </c>
      <c r="E42" s="2">
        <v>2.745</v>
      </c>
      <c r="F42" s="3">
        <v>37299.9074</v>
      </c>
      <c r="G42" s="30">
        <f t="shared" si="2"/>
        <v>102388.245813</v>
      </c>
      <c r="H42" s="38">
        <f t="shared" si="3"/>
        <v>8532.35381775</v>
      </c>
    </row>
    <row r="43" spans="2:8" ht="12">
      <c r="B43" s="9">
        <v>37</v>
      </c>
      <c r="C43" s="1" t="s">
        <v>153</v>
      </c>
      <c r="D43" s="1" t="s">
        <v>138</v>
      </c>
      <c r="E43" s="2">
        <v>8</v>
      </c>
      <c r="F43" s="3">
        <v>75.3424</v>
      </c>
      <c r="G43" s="30">
        <f t="shared" si="2"/>
        <v>602.7392</v>
      </c>
      <c r="H43" s="38">
        <f t="shared" si="3"/>
        <v>50.22826666666666</v>
      </c>
    </row>
    <row r="44" spans="2:8" ht="12">
      <c r="B44" s="9">
        <v>38</v>
      </c>
      <c r="C44" s="1" t="s">
        <v>154</v>
      </c>
      <c r="D44" s="1" t="s">
        <v>155</v>
      </c>
      <c r="E44" s="2">
        <v>0.92799</v>
      </c>
      <c r="F44" s="3">
        <v>216.08020000000002</v>
      </c>
      <c r="G44" s="30">
        <f t="shared" si="2"/>
        <v>200.52026479800003</v>
      </c>
      <c r="H44" s="38">
        <f t="shared" si="3"/>
        <v>16.710022066500002</v>
      </c>
    </row>
    <row r="45" spans="2:8" ht="12.75" thickBot="1">
      <c r="B45" s="191" t="s">
        <v>132</v>
      </c>
      <c r="C45" s="192"/>
      <c r="D45" s="192"/>
      <c r="E45" s="192"/>
      <c r="F45" s="193"/>
      <c r="G45" s="31">
        <f>SUM(G29:G44)</f>
        <v>142165.58466477165</v>
      </c>
      <c r="H45" s="31">
        <f>SUM(H29:H44)</f>
        <v>11847.132055397637</v>
      </c>
    </row>
    <row r="46" spans="2:7" ht="15.75" thickBot="1">
      <c r="B46" s="194" t="s">
        <v>156</v>
      </c>
      <c r="C46" s="194"/>
      <c r="D46" s="194"/>
      <c r="E46" s="194"/>
      <c r="F46" s="194"/>
      <c r="G46" s="194"/>
    </row>
    <row r="47" spans="2:8" ht="12">
      <c r="B47" s="8">
        <v>39</v>
      </c>
      <c r="C47" s="10" t="s">
        <v>157</v>
      </c>
      <c r="D47" s="10" t="s">
        <v>149</v>
      </c>
      <c r="E47" s="11">
        <v>1.64879266</v>
      </c>
      <c r="F47" s="12">
        <v>103.6644</v>
      </c>
      <c r="G47" s="29">
        <f aca="true" t="shared" si="4" ref="G47:G58">E47*F47</f>
        <v>170.921101823304</v>
      </c>
      <c r="H47" s="38">
        <f>G47/12</f>
        <v>14.243425151942</v>
      </c>
    </row>
    <row r="48" spans="2:8" ht="12">
      <c r="B48" s="9">
        <v>40</v>
      </c>
      <c r="C48" s="1" t="s">
        <v>158</v>
      </c>
      <c r="D48" s="1" t="s">
        <v>149</v>
      </c>
      <c r="E48" s="2">
        <v>19.38147686</v>
      </c>
      <c r="F48" s="3">
        <v>77.1456</v>
      </c>
      <c r="G48" s="30">
        <f t="shared" si="4"/>
        <v>1495.1956612508159</v>
      </c>
      <c r="H48" s="38">
        <f aca="true" t="shared" si="5" ref="H48:H58">G48/12</f>
        <v>124.59963843756799</v>
      </c>
    </row>
    <row r="49" spans="2:8" ht="12">
      <c r="B49" s="9">
        <v>41</v>
      </c>
      <c r="C49" s="1" t="s">
        <v>159</v>
      </c>
      <c r="D49" s="1" t="s">
        <v>149</v>
      </c>
      <c r="E49" s="2">
        <v>0.1872</v>
      </c>
      <c r="F49" s="3">
        <v>94.8248</v>
      </c>
      <c r="G49" s="30">
        <f t="shared" si="4"/>
        <v>17.75120256</v>
      </c>
      <c r="H49" s="38">
        <f t="shared" si="5"/>
        <v>1.47926688</v>
      </c>
    </row>
    <row r="50" spans="2:8" ht="12">
      <c r="B50" s="9">
        <v>42</v>
      </c>
      <c r="C50" s="1" t="s">
        <v>160</v>
      </c>
      <c r="D50" s="1" t="s">
        <v>149</v>
      </c>
      <c r="E50" s="2">
        <v>0.73576</v>
      </c>
      <c r="F50" s="3">
        <v>130.1832</v>
      </c>
      <c r="G50" s="30">
        <f t="shared" si="4"/>
        <v>95.78359123199999</v>
      </c>
      <c r="H50" s="38">
        <f t="shared" si="5"/>
        <v>7.981965935999999</v>
      </c>
    </row>
    <row r="51" spans="2:8" ht="12">
      <c r="B51" s="9">
        <v>43</v>
      </c>
      <c r="C51" s="1" t="s">
        <v>161</v>
      </c>
      <c r="D51" s="1" t="s">
        <v>149</v>
      </c>
      <c r="E51" s="2">
        <v>0.056</v>
      </c>
      <c r="F51" s="3">
        <v>130.1832</v>
      </c>
      <c r="G51" s="30">
        <f t="shared" si="4"/>
        <v>7.2902592</v>
      </c>
      <c r="H51" s="38">
        <f t="shared" si="5"/>
        <v>0.6075216</v>
      </c>
    </row>
    <row r="52" spans="2:8" ht="12">
      <c r="B52" s="9">
        <v>44</v>
      </c>
      <c r="C52" s="1" t="s">
        <v>162</v>
      </c>
      <c r="D52" s="1" t="s">
        <v>149</v>
      </c>
      <c r="E52" s="2">
        <v>31.678848</v>
      </c>
      <c r="F52" s="3">
        <v>57.0556</v>
      </c>
      <c r="G52" s="30">
        <f t="shared" si="4"/>
        <v>1807.4556799487998</v>
      </c>
      <c r="H52" s="38">
        <f t="shared" si="5"/>
        <v>150.62130666239997</v>
      </c>
    </row>
    <row r="53" spans="2:8" ht="12">
      <c r="B53" s="9">
        <v>45</v>
      </c>
      <c r="C53" s="1" t="s">
        <v>163</v>
      </c>
      <c r="D53" s="1" t="s">
        <v>149</v>
      </c>
      <c r="E53" s="2">
        <v>0.066608</v>
      </c>
      <c r="F53" s="3">
        <v>112.50399999999999</v>
      </c>
      <c r="G53" s="30">
        <f t="shared" si="4"/>
        <v>7.4936664319999995</v>
      </c>
      <c r="H53" s="38">
        <f t="shared" si="5"/>
        <v>0.6244722026666666</v>
      </c>
    </row>
    <row r="54" spans="2:8" ht="12">
      <c r="B54" s="9">
        <v>46</v>
      </c>
      <c r="C54" s="1" t="s">
        <v>164</v>
      </c>
      <c r="D54" s="1" t="s">
        <v>149</v>
      </c>
      <c r="E54" s="2">
        <v>0.83632617</v>
      </c>
      <c r="F54" s="3">
        <v>68.306</v>
      </c>
      <c r="G54" s="30">
        <f t="shared" si="4"/>
        <v>57.126095368019996</v>
      </c>
      <c r="H54" s="38">
        <f t="shared" si="5"/>
        <v>4.760507947334999</v>
      </c>
    </row>
    <row r="55" spans="2:8" ht="12">
      <c r="B55" s="9">
        <v>47</v>
      </c>
      <c r="C55" s="1" t="s">
        <v>165</v>
      </c>
      <c r="D55" s="1" t="s">
        <v>149</v>
      </c>
      <c r="E55" s="2">
        <v>0.748</v>
      </c>
      <c r="F55" s="3">
        <v>3045.6440000000002</v>
      </c>
      <c r="G55" s="30">
        <f t="shared" si="4"/>
        <v>2278.141712</v>
      </c>
      <c r="H55" s="38">
        <f t="shared" si="5"/>
        <v>189.84514266666667</v>
      </c>
    </row>
    <row r="56" spans="2:8" ht="12">
      <c r="B56" s="9">
        <v>48</v>
      </c>
      <c r="C56" s="1" t="s">
        <v>166</v>
      </c>
      <c r="D56" s="1" t="s">
        <v>149</v>
      </c>
      <c r="E56" s="2">
        <v>0.0053604</v>
      </c>
      <c r="F56" s="3">
        <v>56.007</v>
      </c>
      <c r="G56" s="30">
        <f t="shared" si="4"/>
        <v>0.30021992280000004</v>
      </c>
      <c r="H56" s="38">
        <f t="shared" si="5"/>
        <v>0.025018326900000002</v>
      </c>
    </row>
    <row r="57" spans="2:8" ht="12">
      <c r="B57" s="9">
        <v>49</v>
      </c>
      <c r="C57" s="1" t="s">
        <v>167</v>
      </c>
      <c r="D57" s="1" t="s">
        <v>149</v>
      </c>
      <c r="E57" s="2">
        <v>0.03104193</v>
      </c>
      <c r="F57" s="3">
        <v>147.86239999999998</v>
      </c>
      <c r="G57" s="30">
        <f t="shared" si="4"/>
        <v>4.589934270431999</v>
      </c>
      <c r="H57" s="38">
        <f t="shared" si="5"/>
        <v>0.3824945225359999</v>
      </c>
    </row>
    <row r="58" spans="2:8" ht="12">
      <c r="B58" s="9">
        <v>50</v>
      </c>
      <c r="C58" s="1" t="s">
        <v>168</v>
      </c>
      <c r="D58" s="1" t="s">
        <v>149</v>
      </c>
      <c r="E58" s="2">
        <v>0.00602324</v>
      </c>
      <c r="F58" s="3">
        <v>361.62</v>
      </c>
      <c r="G58" s="30">
        <f t="shared" si="4"/>
        <v>2.1781240488</v>
      </c>
      <c r="H58" s="38">
        <f t="shared" si="5"/>
        <v>0.1815103374</v>
      </c>
    </row>
    <row r="59" spans="2:8" ht="12.75" thickBot="1">
      <c r="B59" s="191" t="s">
        <v>132</v>
      </c>
      <c r="C59" s="192"/>
      <c r="D59" s="192"/>
      <c r="E59" s="192"/>
      <c r="F59" s="193"/>
      <c r="G59" s="31">
        <f>SUM(G47:G58)</f>
        <v>5944.227248056973</v>
      </c>
      <c r="H59" s="31">
        <f>SUM(H47:H58)</f>
        <v>495.3522706714143</v>
      </c>
    </row>
    <row r="60" spans="2:7" ht="15.75" thickBot="1">
      <c r="B60" s="194" t="s">
        <v>169</v>
      </c>
      <c r="C60" s="194"/>
      <c r="D60" s="194"/>
      <c r="E60" s="194"/>
      <c r="F60" s="194"/>
      <c r="G60" s="194"/>
    </row>
    <row r="61" spans="2:8" ht="12">
      <c r="B61" s="8">
        <v>51</v>
      </c>
      <c r="C61" s="10" t="s">
        <v>170</v>
      </c>
      <c r="D61" s="10" t="s">
        <v>171</v>
      </c>
      <c r="E61" s="11">
        <v>38.655</v>
      </c>
      <c r="F61" s="12">
        <v>54.256</v>
      </c>
      <c r="G61" s="29">
        <f>E61*F61</f>
        <v>2097.26568</v>
      </c>
      <c r="H61" s="38">
        <f>G61/12</f>
        <v>174.77214</v>
      </c>
    </row>
    <row r="62" spans="2:8" ht="12">
      <c r="B62" s="9">
        <v>52</v>
      </c>
      <c r="C62" s="1" t="s">
        <v>172</v>
      </c>
      <c r="D62" s="1" t="s">
        <v>171</v>
      </c>
      <c r="E62" s="2">
        <v>0.693</v>
      </c>
      <c r="F62" s="3">
        <v>427.64</v>
      </c>
      <c r="G62" s="30">
        <f>E62*F62</f>
        <v>296.35452</v>
      </c>
      <c r="H62" s="38">
        <f>G62/12</f>
        <v>24.696209999999997</v>
      </c>
    </row>
    <row r="63" spans="2:8" ht="12.75" thickBot="1">
      <c r="B63" s="191" t="s">
        <v>132</v>
      </c>
      <c r="C63" s="192"/>
      <c r="D63" s="192"/>
      <c r="E63" s="192"/>
      <c r="F63" s="193"/>
      <c r="G63" s="31">
        <f>SUM(G61:G62)</f>
        <v>2393.6202</v>
      </c>
      <c r="H63" s="39">
        <f>SUM(H61:H62)</f>
        <v>199.46835000000002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59:F59"/>
    <mergeCell ref="B60:G60"/>
    <mergeCell ref="B63:F63"/>
    <mergeCell ref="B1:G1"/>
    <mergeCell ref="B4:G4"/>
    <mergeCell ref="B27:F27"/>
    <mergeCell ref="B28:G28"/>
    <mergeCell ref="B45:F45"/>
    <mergeCell ref="B46:G46"/>
  </mergeCells>
  <printOptions/>
  <pageMargins left="0.35" right="0.35" top="0.35" bottom="0.35" header="0.3" footer="0.3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">
      <c r="B1" s="13" t="s">
        <v>180</v>
      </c>
      <c r="C1" s="13"/>
      <c r="D1" s="17"/>
      <c r="E1" s="17"/>
      <c r="F1" s="17"/>
    </row>
    <row r="2" spans="2:6" ht="12">
      <c r="B2" s="13" t="s">
        <v>181</v>
      </c>
      <c r="C2" s="13"/>
      <c r="D2" s="17"/>
      <c r="E2" s="17"/>
      <c r="F2" s="17"/>
    </row>
    <row r="3" spans="2:6" ht="12">
      <c r="B3" s="14"/>
      <c r="C3" s="14"/>
      <c r="D3" s="18"/>
      <c r="E3" s="18"/>
      <c r="F3" s="18"/>
    </row>
    <row r="4" spans="2:6" ht="48">
      <c r="B4" s="14" t="s">
        <v>182</v>
      </c>
      <c r="C4" s="14"/>
      <c r="D4" s="18"/>
      <c r="E4" s="18"/>
      <c r="F4" s="18"/>
    </row>
    <row r="5" spans="2:6" ht="12">
      <c r="B5" s="14"/>
      <c r="C5" s="14"/>
      <c r="D5" s="18"/>
      <c r="E5" s="18"/>
      <c r="F5" s="18"/>
    </row>
    <row r="6" spans="2:6" ht="24">
      <c r="B6" s="13" t="s">
        <v>183</v>
      </c>
      <c r="C6" s="13"/>
      <c r="D6" s="17"/>
      <c r="E6" s="17" t="s">
        <v>184</v>
      </c>
      <c r="F6" s="17" t="s">
        <v>185</v>
      </c>
    </row>
    <row r="7" spans="2:6" ht="12.75" thickBot="1">
      <c r="B7" s="14"/>
      <c r="C7" s="14"/>
      <c r="D7" s="18"/>
      <c r="E7" s="18"/>
      <c r="F7" s="18"/>
    </row>
    <row r="8" spans="2:6" ht="36.75" thickBot="1">
      <c r="B8" s="15" t="s">
        <v>186</v>
      </c>
      <c r="C8" s="16"/>
      <c r="D8" s="19"/>
      <c r="E8" s="19">
        <v>7</v>
      </c>
      <c r="F8" s="20" t="s">
        <v>187</v>
      </c>
    </row>
    <row r="9" spans="2:6" ht="12">
      <c r="B9" s="14"/>
      <c r="C9" s="14"/>
      <c r="D9" s="18"/>
      <c r="E9" s="18"/>
      <c r="F9" s="18"/>
    </row>
    <row r="10" spans="2:6" ht="12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view="pageLayout" zoomScaleNormal="75" workbookViewId="0" topLeftCell="C22">
      <selection activeCell="E8" sqref="E8"/>
    </sheetView>
  </sheetViews>
  <sheetFormatPr defaultColWidth="9.140625" defaultRowHeight="12"/>
  <cols>
    <col min="1" max="1" width="6.421875" style="0" customWidth="1"/>
    <col min="2" max="2" width="7.00390625" style="0" customWidth="1"/>
    <col min="3" max="3" width="78.57421875" style="0" customWidth="1"/>
    <col min="4" max="4" width="27.140625" style="0" customWidth="1"/>
    <col min="5" max="5" width="11.140625" style="0" customWidth="1"/>
    <col min="6" max="6" width="13.7109375" style="0" customWidth="1"/>
    <col min="7" max="7" width="14.140625" style="0" hidden="1" customWidth="1"/>
    <col min="8" max="8" width="14.28125" style="0" hidden="1" customWidth="1"/>
    <col min="9" max="9" width="14.140625" style="0" hidden="1" customWidth="1"/>
    <col min="10" max="10" width="14.00390625" style="0" hidden="1" customWidth="1"/>
    <col min="11" max="11" width="14.28125" style="0" hidden="1" customWidth="1"/>
    <col min="12" max="12" width="15.140625" style="0" hidden="1" customWidth="1"/>
    <col min="13" max="13" width="13.57421875" style="0" customWidth="1"/>
    <col min="14" max="14" width="12.421875" style="0" customWidth="1"/>
    <col min="15" max="15" width="11.00390625" style="0" customWidth="1"/>
    <col min="16" max="16" width="21.28125" style="0" customWidth="1"/>
    <col min="17" max="17" width="6.28125" style="0" customWidth="1"/>
    <col min="18" max="18" width="9.140625" style="0" hidden="1" customWidth="1"/>
  </cols>
  <sheetData>
    <row r="1" spans="2:16" ht="26.25" customHeight="1">
      <c r="B1" s="190" t="s">
        <v>270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26.25" customHeight="1">
      <c r="B2" s="190" t="s">
        <v>271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8" ht="35.25" customHeight="1" thickBot="1">
      <c r="B3" s="164" t="s">
        <v>269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R3" s="21"/>
    </row>
    <row r="4" spans="2:16" ht="45.75" customHeight="1" thickBot="1" thickTop="1">
      <c r="B4" s="61" t="s">
        <v>0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3" t="s">
        <v>225</v>
      </c>
      <c r="N4" s="64" t="s">
        <v>173</v>
      </c>
      <c r="O4" s="65" t="s">
        <v>174</v>
      </c>
      <c r="P4" s="66" t="s">
        <v>204</v>
      </c>
    </row>
    <row r="5" spans="2:16" ht="24.75" customHeight="1" thickBot="1">
      <c r="B5" s="165" t="s">
        <v>12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</row>
    <row r="6" spans="2:16" ht="16.5" customHeight="1">
      <c r="B6" s="83">
        <v>1</v>
      </c>
      <c r="C6" s="84" t="s">
        <v>13</v>
      </c>
      <c r="D6" s="85" t="s">
        <v>14</v>
      </c>
      <c r="E6" s="86">
        <v>0.5</v>
      </c>
      <c r="F6" s="86">
        <v>2</v>
      </c>
      <c r="G6" s="87">
        <f>1128.9376*E6*F6</f>
        <v>1128.9376</v>
      </c>
      <c r="H6" s="87">
        <f>422.262792*E6*F6</f>
        <v>422.262792</v>
      </c>
      <c r="I6" s="87">
        <f aca="true" t="shared" si="0" ref="I6:I27">0*E6*F6</f>
        <v>0</v>
      </c>
      <c r="J6" s="87">
        <f>1074.7485952*E6*F6</f>
        <v>1074.7485952</v>
      </c>
      <c r="K6" s="87">
        <f>275.724643656*E6*F6</f>
        <v>275.724643656</v>
      </c>
      <c r="L6" s="87">
        <f>225.78752*E6*F6</f>
        <v>225.78752</v>
      </c>
      <c r="M6" s="88">
        <f aca="true" t="shared" si="1" ref="M6:M27">SUM(G6:L6)</f>
        <v>3127.4611508559997</v>
      </c>
      <c r="N6" s="69">
        <f aca="true" t="shared" si="2" ref="N6:N27">M6/12</f>
        <v>260.6217625713333</v>
      </c>
      <c r="O6" s="70">
        <f>N6/1000</f>
        <v>0.2606217625713333</v>
      </c>
      <c r="P6" s="71" t="s">
        <v>205</v>
      </c>
    </row>
    <row r="7" spans="2:16" s="45" customFormat="1" ht="12.75">
      <c r="B7" s="89">
        <v>2</v>
      </c>
      <c r="C7" s="77" t="s">
        <v>15</v>
      </c>
      <c r="D7" s="41" t="s">
        <v>16</v>
      </c>
      <c r="E7" s="42">
        <v>14.961</v>
      </c>
      <c r="F7" s="42">
        <v>2</v>
      </c>
      <c r="G7" s="43">
        <f>43.59264*E7*F7</f>
        <v>1304.37897408</v>
      </c>
      <c r="H7" s="43">
        <f>0*E7*F7</f>
        <v>0</v>
      </c>
      <c r="I7" s="43">
        <f t="shared" si="0"/>
        <v>0</v>
      </c>
      <c r="J7" s="43">
        <f>41.50019328*E7*F7</f>
        <v>1241.76878332416</v>
      </c>
      <c r="K7" s="43">
        <f>8.9347474944*E7*F7</f>
        <v>267.3455145274368</v>
      </c>
      <c r="L7" s="43">
        <f>8.718528*E7*F7</f>
        <v>260.875794816</v>
      </c>
      <c r="M7" s="90">
        <f t="shared" si="1"/>
        <v>3074.369066747597</v>
      </c>
      <c r="N7" s="72">
        <f t="shared" si="2"/>
        <v>256.19742222896645</v>
      </c>
      <c r="O7" s="56">
        <f>N7/10098</f>
        <v>0.02537110539007392</v>
      </c>
      <c r="P7" s="73" t="s">
        <v>205</v>
      </c>
    </row>
    <row r="8" spans="2:16" s="45" customFormat="1" ht="12.75">
      <c r="B8" s="91">
        <v>3</v>
      </c>
      <c r="C8" s="77" t="s">
        <v>17</v>
      </c>
      <c r="D8" s="41" t="s">
        <v>16</v>
      </c>
      <c r="E8" s="42">
        <v>14.961</v>
      </c>
      <c r="F8" s="42">
        <v>2</v>
      </c>
      <c r="G8" s="43">
        <f>347.62336*E8*F8</f>
        <v>10401.58617792</v>
      </c>
      <c r="H8" s="43">
        <f>0*E8*F8</f>
        <v>0</v>
      </c>
      <c r="I8" s="43">
        <f t="shared" si="0"/>
        <v>0</v>
      </c>
      <c r="J8" s="43">
        <f>330.93743872*E8*F8</f>
        <v>9902.31004137984</v>
      </c>
      <c r="K8" s="43">
        <f>71.2488838656*E8*F8</f>
        <v>2131.9091030264835</v>
      </c>
      <c r="L8" s="43">
        <f>69.524672*E8*F8</f>
        <v>2080.3172355839997</v>
      </c>
      <c r="M8" s="90">
        <f t="shared" si="1"/>
        <v>24516.122557910323</v>
      </c>
      <c r="N8" s="72">
        <f t="shared" si="2"/>
        <v>2043.0102131591937</v>
      </c>
      <c r="O8" s="56">
        <f>N8/10098</f>
        <v>0.20231830195674327</v>
      </c>
      <c r="P8" s="73" t="s">
        <v>205</v>
      </c>
    </row>
    <row r="9" spans="2:16" ht="29.25" customHeight="1">
      <c r="B9" s="89">
        <v>6</v>
      </c>
      <c r="C9" s="59" t="s">
        <v>21</v>
      </c>
      <c r="D9" s="22" t="s">
        <v>22</v>
      </c>
      <c r="E9" s="23">
        <v>0.3</v>
      </c>
      <c r="F9" s="23">
        <v>2</v>
      </c>
      <c r="G9" s="24">
        <f>3958.7632*E9*F9</f>
        <v>2375.25792</v>
      </c>
      <c r="H9" s="24">
        <f>608.164872*E9*F9</f>
        <v>364.89892319999996</v>
      </c>
      <c r="I9" s="24">
        <f t="shared" si="0"/>
        <v>0</v>
      </c>
      <c r="J9" s="24">
        <f>3768.7425664*E9*F9</f>
        <v>2261.24553984</v>
      </c>
      <c r="K9" s="24">
        <f>875.245417032*E9*F9</f>
        <v>525.1472502191999</v>
      </c>
      <c r="L9" s="24">
        <f>791.75264*E9*F9</f>
        <v>475.051584</v>
      </c>
      <c r="M9" s="92">
        <f t="shared" si="1"/>
        <v>6001.6012172592</v>
      </c>
      <c r="N9" s="72">
        <f t="shared" si="2"/>
        <v>500.1334347716</v>
      </c>
      <c r="O9" s="56">
        <f>N9/1000</f>
        <v>0.5001334347716</v>
      </c>
      <c r="P9" s="73" t="s">
        <v>205</v>
      </c>
    </row>
    <row r="10" spans="2:16" ht="29.25" customHeight="1">
      <c r="B10" s="89">
        <v>8</v>
      </c>
      <c r="C10" s="38" t="s">
        <v>249</v>
      </c>
      <c r="D10" s="38" t="s">
        <v>247</v>
      </c>
      <c r="E10" s="132">
        <v>0.02</v>
      </c>
      <c r="F10" s="132">
        <v>12</v>
      </c>
      <c r="G10" s="133">
        <f>1341.312*E10*F10</f>
        <v>321.91488</v>
      </c>
      <c r="H10" s="133">
        <f>0*E10*F10</f>
        <v>0</v>
      </c>
      <c r="I10" s="133">
        <f>0*E10*F10</f>
        <v>0</v>
      </c>
      <c r="J10" s="133">
        <f>1276.929024*E10*F10</f>
        <v>306.46296576</v>
      </c>
      <c r="K10" s="133">
        <f>274.91530752*E10*F10</f>
        <v>65.9796738048</v>
      </c>
      <c r="L10" s="133">
        <f>268.2624*E10*F10</f>
        <v>64.382976</v>
      </c>
      <c r="M10" s="136">
        <f>SUM(G10:L10)</f>
        <v>758.7404955647999</v>
      </c>
      <c r="N10" s="123">
        <f t="shared" si="2"/>
        <v>63.22837463039999</v>
      </c>
      <c r="O10" s="56">
        <f>N10/1000</f>
        <v>0.06322837463039999</v>
      </c>
      <c r="P10" s="122" t="s">
        <v>226</v>
      </c>
    </row>
    <row r="11" spans="2:16" ht="13.5" customHeight="1">
      <c r="B11" s="91">
        <v>9</v>
      </c>
      <c r="C11" s="59" t="s">
        <v>275</v>
      </c>
      <c r="D11" s="22">
        <v>100</v>
      </c>
      <c r="E11" s="23">
        <v>0.01</v>
      </c>
      <c r="F11" s="23">
        <v>2</v>
      </c>
      <c r="G11" s="24">
        <f>1134.5544*E11*F11</f>
        <v>22.691088</v>
      </c>
      <c r="H11" s="24">
        <f>0*E11*F11</f>
        <v>0</v>
      </c>
      <c r="I11" s="24">
        <f t="shared" si="0"/>
        <v>0</v>
      </c>
      <c r="J11" s="24">
        <f>1080.0957888*E11*F11</f>
        <v>21.601915776000002</v>
      </c>
      <c r="K11" s="24">
        <f>232.538269824*E11*F11</f>
        <v>4.65076539648</v>
      </c>
      <c r="L11" s="24">
        <f>226.91088*E11*F11</f>
        <v>4.5382176</v>
      </c>
      <c r="M11" s="92">
        <f t="shared" si="1"/>
        <v>53.481986772480006</v>
      </c>
      <c r="N11" s="72">
        <f t="shared" si="2"/>
        <v>4.456832231040001</v>
      </c>
      <c r="O11" s="56">
        <f>N11/1000</f>
        <v>0.0044568322310400005</v>
      </c>
      <c r="P11" s="73" t="s">
        <v>205</v>
      </c>
    </row>
    <row r="12" spans="2:16" ht="12.75">
      <c r="B12" s="89">
        <v>10</v>
      </c>
      <c r="C12" s="59" t="s">
        <v>25</v>
      </c>
      <c r="D12" s="22" t="s">
        <v>26</v>
      </c>
      <c r="E12" s="23">
        <v>1</v>
      </c>
      <c r="F12" s="23">
        <v>0.5</v>
      </c>
      <c r="G12" s="24">
        <f>558.88*E12*F12</f>
        <v>279.44</v>
      </c>
      <c r="H12" s="24">
        <f>303.59812*E12*F12</f>
        <v>151.79906</v>
      </c>
      <c r="I12" s="24">
        <f t="shared" si="0"/>
        <v>0</v>
      </c>
      <c r="J12" s="24">
        <f>532.05376*E12*F12</f>
        <v>266.02688</v>
      </c>
      <c r="K12" s="24">
        <f>146.4258474*E12*F12</f>
        <v>73.2129237</v>
      </c>
      <c r="L12" s="24">
        <f>111.776*E12*F12</f>
        <v>55.888</v>
      </c>
      <c r="M12" s="92">
        <f t="shared" si="1"/>
        <v>826.3668637000001</v>
      </c>
      <c r="N12" s="72">
        <f t="shared" si="2"/>
        <v>68.86390530833334</v>
      </c>
      <c r="O12" s="56">
        <f>N12/100</f>
        <v>0.6886390530833334</v>
      </c>
      <c r="P12" s="73" t="s">
        <v>207</v>
      </c>
    </row>
    <row r="13" spans="2:16" ht="12.75">
      <c r="B13" s="91">
        <v>11</v>
      </c>
      <c r="C13" s="59" t="s">
        <v>27</v>
      </c>
      <c r="D13" s="22" t="s">
        <v>26</v>
      </c>
      <c r="E13" s="23">
        <v>1</v>
      </c>
      <c r="F13" s="23">
        <v>0.5</v>
      </c>
      <c r="G13" s="24">
        <f>223.552*E13*F13</f>
        <v>111.776</v>
      </c>
      <c r="H13" s="24">
        <f>0*E13*F13</f>
        <v>0</v>
      </c>
      <c r="I13" s="24">
        <f t="shared" si="0"/>
        <v>0</v>
      </c>
      <c r="J13" s="24">
        <f>212.821504*E13*F13</f>
        <v>106.410752</v>
      </c>
      <c r="K13" s="24">
        <f>45.81921792*E13*F13</f>
        <v>22.90960896</v>
      </c>
      <c r="L13" s="24">
        <f>44.7104*E13*F13</f>
        <v>22.3552</v>
      </c>
      <c r="M13" s="92">
        <f t="shared" si="1"/>
        <v>263.45156096000005</v>
      </c>
      <c r="N13" s="72">
        <f t="shared" si="2"/>
        <v>21.95429674666667</v>
      </c>
      <c r="O13" s="56">
        <f>N13/100</f>
        <v>0.2195429674666667</v>
      </c>
      <c r="P13" s="73" t="s">
        <v>207</v>
      </c>
    </row>
    <row r="14" spans="2:16" ht="12.75">
      <c r="B14" s="89">
        <v>12</v>
      </c>
      <c r="C14" s="59" t="s">
        <v>28</v>
      </c>
      <c r="D14" s="22" t="s">
        <v>29</v>
      </c>
      <c r="E14" s="23">
        <v>1</v>
      </c>
      <c r="F14" s="23">
        <v>1</v>
      </c>
      <c r="G14" s="24">
        <f>31.935604913128*E14*F14</f>
        <v>31.935604913128</v>
      </c>
      <c r="H14" s="24">
        <f>0*E14*F14</f>
        <v>0</v>
      </c>
      <c r="I14" s="24">
        <f t="shared" si="0"/>
        <v>0</v>
      </c>
      <c r="J14" s="24">
        <f>30.402695877298*E14*F14</f>
        <v>30.402695877298</v>
      </c>
      <c r="K14" s="24">
        <f>6.5455215829947*E14*F14</f>
        <v>6.5455215829947</v>
      </c>
      <c r="L14" s="24">
        <f>6.3871209826256*E14*F14</f>
        <v>6.3871209826256</v>
      </c>
      <c r="M14" s="92">
        <f t="shared" si="1"/>
        <v>75.2709433560463</v>
      </c>
      <c r="N14" s="72">
        <f t="shared" si="2"/>
        <v>6.2725786130038585</v>
      </c>
      <c r="O14" s="56">
        <f aca="true" t="shared" si="3" ref="O14:O27">N14/1000</f>
        <v>0.006272578613003859</v>
      </c>
      <c r="P14" s="73" t="s">
        <v>207</v>
      </c>
    </row>
    <row r="15" spans="2:16" ht="25.5">
      <c r="B15" s="91">
        <v>13</v>
      </c>
      <c r="C15" s="59" t="s">
        <v>30</v>
      </c>
      <c r="D15" s="22" t="s">
        <v>31</v>
      </c>
      <c r="E15" s="23">
        <v>1</v>
      </c>
      <c r="F15" s="23">
        <v>2</v>
      </c>
      <c r="G15" s="24">
        <f>504.2464*E15*F15</f>
        <v>1008.4928</v>
      </c>
      <c r="H15" s="24">
        <f>0*E15*F15</f>
        <v>0</v>
      </c>
      <c r="I15" s="24">
        <f t="shared" si="0"/>
        <v>0</v>
      </c>
      <c r="J15" s="24">
        <f>480.0425728*E15*F15</f>
        <v>960.0851456</v>
      </c>
      <c r="K15" s="24">
        <f>103.350342144*E15*F15</f>
        <v>206.700684288</v>
      </c>
      <c r="L15" s="24">
        <f>100.84928*E15*F15</f>
        <v>201.69856</v>
      </c>
      <c r="M15" s="92">
        <f t="shared" si="1"/>
        <v>2376.977189888</v>
      </c>
      <c r="N15" s="72">
        <f t="shared" si="2"/>
        <v>198.08143249066666</v>
      </c>
      <c r="O15" s="56">
        <f t="shared" si="3"/>
        <v>0.19808143249066665</v>
      </c>
      <c r="P15" s="73" t="s">
        <v>205</v>
      </c>
    </row>
    <row r="16" spans="2:16" ht="12.75">
      <c r="B16" s="89">
        <v>14</v>
      </c>
      <c r="C16" s="59" t="s">
        <v>32</v>
      </c>
      <c r="D16" s="22" t="s">
        <v>33</v>
      </c>
      <c r="E16" s="23">
        <v>1</v>
      </c>
      <c r="F16" s="23">
        <v>2</v>
      </c>
      <c r="G16" s="24">
        <f>447.104*E16*F16</f>
        <v>894.208</v>
      </c>
      <c r="H16" s="24">
        <f>0*E16*F16</f>
        <v>0</v>
      </c>
      <c r="I16" s="24">
        <f t="shared" si="0"/>
        <v>0</v>
      </c>
      <c r="J16" s="24">
        <f>425.643008*E16*F16</f>
        <v>851.286016</v>
      </c>
      <c r="K16" s="24">
        <f>91.63843584*E16*F16</f>
        <v>183.27687168</v>
      </c>
      <c r="L16" s="24">
        <f>89.4208*E16*F16</f>
        <v>178.8416</v>
      </c>
      <c r="M16" s="92">
        <f t="shared" si="1"/>
        <v>2107.6124876800004</v>
      </c>
      <c r="N16" s="72">
        <f t="shared" si="2"/>
        <v>175.63437397333337</v>
      </c>
      <c r="O16" s="56">
        <f t="shared" si="3"/>
        <v>0.17563437397333337</v>
      </c>
      <c r="P16" s="122" t="s">
        <v>205</v>
      </c>
    </row>
    <row r="17" spans="2:16" ht="14.25" customHeight="1">
      <c r="B17" s="91">
        <v>15</v>
      </c>
      <c r="C17" s="59" t="s">
        <v>34</v>
      </c>
      <c r="D17" s="22" t="s">
        <v>35</v>
      </c>
      <c r="E17" s="23">
        <v>1</v>
      </c>
      <c r="F17" s="23">
        <v>1</v>
      </c>
      <c r="G17" s="24">
        <f>439.198592*E17*F17</f>
        <v>439.198592</v>
      </c>
      <c r="H17" s="24">
        <f>3.308846226*E17*F17</f>
        <v>3.308846226</v>
      </c>
      <c r="I17" s="24">
        <f t="shared" si="0"/>
        <v>0</v>
      </c>
      <c r="J17" s="24">
        <f>418.117059584*E17*F17</f>
        <v>418.117059584</v>
      </c>
      <c r="K17" s="24">
        <f>90.36557227005*E17*F17</f>
        <v>90.36557227005</v>
      </c>
      <c r="L17" s="24">
        <f>87.8397184*E17*F17</f>
        <v>87.8397184</v>
      </c>
      <c r="M17" s="92">
        <f t="shared" si="1"/>
        <v>1038.8297884800502</v>
      </c>
      <c r="N17" s="72">
        <f t="shared" si="2"/>
        <v>86.56914904000418</v>
      </c>
      <c r="O17" s="56">
        <f t="shared" si="3"/>
        <v>0.08656914904000418</v>
      </c>
      <c r="P17" s="73" t="s">
        <v>207</v>
      </c>
    </row>
    <row r="18" spans="2:16" ht="14.25" customHeight="1">
      <c r="B18" s="89">
        <v>16</v>
      </c>
      <c r="C18" s="59" t="s">
        <v>36</v>
      </c>
      <c r="D18" s="22" t="s">
        <v>35</v>
      </c>
      <c r="E18" s="23">
        <v>0.5</v>
      </c>
      <c r="F18" s="23">
        <v>1</v>
      </c>
      <c r="G18" s="24">
        <f>439.198592*E18*F18</f>
        <v>219.599296</v>
      </c>
      <c r="H18" s="24">
        <f>3.308846226*E18*F18</f>
        <v>1.654423113</v>
      </c>
      <c r="I18" s="24">
        <f t="shared" si="0"/>
        <v>0</v>
      </c>
      <c r="J18" s="24">
        <f>418.117059584*E18*F18</f>
        <v>209.058529792</v>
      </c>
      <c r="K18" s="24">
        <f>90.36557227005*E18*F18</f>
        <v>45.182786135025</v>
      </c>
      <c r="L18" s="24">
        <f>87.8397184*E18*F18</f>
        <v>43.9198592</v>
      </c>
      <c r="M18" s="92">
        <f t="shared" si="1"/>
        <v>519.4148942400251</v>
      </c>
      <c r="N18" s="72">
        <f t="shared" si="2"/>
        <v>43.28457452000209</v>
      </c>
      <c r="O18" s="56">
        <f t="shared" si="3"/>
        <v>0.04328457452000209</v>
      </c>
      <c r="P18" s="73" t="s">
        <v>207</v>
      </c>
    </row>
    <row r="19" spans="2:16" ht="15.75" customHeight="1">
      <c r="B19" s="91">
        <v>17</v>
      </c>
      <c r="C19" s="59" t="s">
        <v>37</v>
      </c>
      <c r="D19" s="22" t="s">
        <v>38</v>
      </c>
      <c r="E19" s="23">
        <v>0.4</v>
      </c>
      <c r="F19" s="23">
        <v>2</v>
      </c>
      <c r="G19" s="24">
        <f>13.41312*E19*F19</f>
        <v>10.730496</v>
      </c>
      <c r="H19" s="24">
        <f aca="true" t="shared" si="4" ref="H19:H27">0*E19*F19</f>
        <v>0</v>
      </c>
      <c r="I19" s="24">
        <f t="shared" si="0"/>
        <v>0</v>
      </c>
      <c r="J19" s="24">
        <f>12.76929024*E19*F19</f>
        <v>10.215432192000002</v>
      </c>
      <c r="K19" s="24">
        <f>2.7491530752*E19*F19</f>
        <v>2.1993224601600003</v>
      </c>
      <c r="L19" s="24">
        <f>2.682624*E19*F19</f>
        <v>2.1460992</v>
      </c>
      <c r="M19" s="92">
        <f t="shared" si="1"/>
        <v>25.291349852160003</v>
      </c>
      <c r="N19" s="72">
        <f t="shared" si="2"/>
        <v>2.1076124876800004</v>
      </c>
      <c r="O19" s="56">
        <f t="shared" si="3"/>
        <v>0.0021076124876800006</v>
      </c>
      <c r="P19" s="122" t="s">
        <v>205</v>
      </c>
    </row>
    <row r="20" spans="2:16" ht="27.75" customHeight="1">
      <c r="B20" s="89">
        <v>18</v>
      </c>
      <c r="C20" s="59" t="s">
        <v>277</v>
      </c>
      <c r="D20" s="22" t="s">
        <v>39</v>
      </c>
      <c r="E20" s="23">
        <v>1</v>
      </c>
      <c r="F20" s="23">
        <v>12</v>
      </c>
      <c r="G20" s="24">
        <f>11.1776*E20*F20</f>
        <v>134.1312</v>
      </c>
      <c r="H20" s="24">
        <f t="shared" si="4"/>
        <v>0</v>
      </c>
      <c r="I20" s="24">
        <f t="shared" si="0"/>
        <v>0</v>
      </c>
      <c r="J20" s="24">
        <f>10.6410752*E20*F20</f>
        <v>127.6929024</v>
      </c>
      <c r="K20" s="24">
        <f>2.290960896*E20*F20</f>
        <v>27.491530752000003</v>
      </c>
      <c r="L20" s="24">
        <f>2.23552*E20*F20</f>
        <v>26.826240000000002</v>
      </c>
      <c r="M20" s="92">
        <f t="shared" si="1"/>
        <v>316.141873152</v>
      </c>
      <c r="N20" s="72">
        <f t="shared" si="2"/>
        <v>26.345156096</v>
      </c>
      <c r="O20" s="56">
        <f t="shared" si="3"/>
        <v>0.026345156096</v>
      </c>
      <c r="P20" s="73" t="s">
        <v>208</v>
      </c>
    </row>
    <row r="21" spans="2:16" ht="30" customHeight="1">
      <c r="B21" s="91">
        <v>19</v>
      </c>
      <c r="C21" s="59" t="s">
        <v>276</v>
      </c>
      <c r="D21" s="22" t="s">
        <v>41</v>
      </c>
      <c r="E21" s="23">
        <v>1</v>
      </c>
      <c r="F21" s="23">
        <v>1</v>
      </c>
      <c r="G21" s="24">
        <f>96.12736*E21*F21</f>
        <v>96.12736</v>
      </c>
      <c r="H21" s="24">
        <f t="shared" si="4"/>
        <v>0</v>
      </c>
      <c r="I21" s="24">
        <f t="shared" si="0"/>
        <v>0</v>
      </c>
      <c r="J21" s="24">
        <f>91.51324672*E21*F21</f>
        <v>91.51324672</v>
      </c>
      <c r="K21" s="24">
        <f>19.7022637056*E21*F21</f>
        <v>19.7022637056</v>
      </c>
      <c r="L21" s="24">
        <f>19.225472*E21*F21</f>
        <v>19.225472</v>
      </c>
      <c r="M21" s="92">
        <f t="shared" si="1"/>
        <v>226.56834242559998</v>
      </c>
      <c r="N21" s="72">
        <f t="shared" si="2"/>
        <v>18.88069520213333</v>
      </c>
      <c r="O21" s="56">
        <f t="shared" si="3"/>
        <v>0.01888069520213333</v>
      </c>
      <c r="P21" s="73" t="s">
        <v>221</v>
      </c>
    </row>
    <row r="22" spans="2:16" ht="32.25" customHeight="1">
      <c r="B22" s="89">
        <v>20</v>
      </c>
      <c r="C22" s="59" t="s">
        <v>278</v>
      </c>
      <c r="D22" s="22" t="s">
        <v>39</v>
      </c>
      <c r="E22" s="23">
        <v>1</v>
      </c>
      <c r="F22" s="23">
        <v>1</v>
      </c>
      <c r="G22" s="24">
        <f>25.21232*E22*F22</f>
        <v>25.21232</v>
      </c>
      <c r="H22" s="24">
        <f t="shared" si="4"/>
        <v>0</v>
      </c>
      <c r="I22" s="24">
        <f t="shared" si="0"/>
        <v>0</v>
      </c>
      <c r="J22" s="24">
        <f>24.00212864*E22*F22</f>
        <v>24.00212864</v>
      </c>
      <c r="K22" s="24">
        <f>5.1675171072*E22*F22</f>
        <v>5.1675171072</v>
      </c>
      <c r="L22" s="24">
        <f>5.042464*E22*F22</f>
        <v>5.042464</v>
      </c>
      <c r="M22" s="92">
        <f t="shared" si="1"/>
        <v>59.4244297472</v>
      </c>
      <c r="N22" s="72">
        <f t="shared" si="2"/>
        <v>4.952035812266667</v>
      </c>
      <c r="O22" s="56">
        <f t="shared" si="3"/>
        <v>0.004952035812266667</v>
      </c>
      <c r="P22" s="73" t="s">
        <v>207</v>
      </c>
    </row>
    <row r="23" spans="2:16" ht="27.75" customHeight="1">
      <c r="B23" s="91">
        <v>21</v>
      </c>
      <c r="C23" s="59" t="s">
        <v>44</v>
      </c>
      <c r="D23" s="22" t="s">
        <v>41</v>
      </c>
      <c r="E23" s="23">
        <v>2</v>
      </c>
      <c r="F23" s="23">
        <v>1</v>
      </c>
      <c r="G23" s="24">
        <f>108.412976*E23*F23</f>
        <v>216.825952</v>
      </c>
      <c r="H23" s="24">
        <f t="shared" si="4"/>
        <v>0</v>
      </c>
      <c r="I23" s="24">
        <f t="shared" si="0"/>
        <v>0</v>
      </c>
      <c r="J23" s="24">
        <f>103.209153152*E23*F23</f>
        <v>206.418306304</v>
      </c>
      <c r="K23" s="24">
        <f>22.22032356096*E23*F23</f>
        <v>44.44064712192</v>
      </c>
      <c r="L23" s="24">
        <f>21.6825952*E23*F23</f>
        <v>43.3651904</v>
      </c>
      <c r="M23" s="92">
        <f t="shared" si="1"/>
        <v>511.05009582592004</v>
      </c>
      <c r="N23" s="72">
        <f t="shared" si="2"/>
        <v>42.58750798549334</v>
      </c>
      <c r="O23" s="56">
        <f t="shared" si="3"/>
        <v>0.042587507985493336</v>
      </c>
      <c r="P23" s="73" t="s">
        <v>222</v>
      </c>
    </row>
    <row r="24" spans="2:16" ht="27.75" customHeight="1">
      <c r="B24" s="89">
        <v>22</v>
      </c>
      <c r="C24" s="59" t="s">
        <v>45</v>
      </c>
      <c r="D24" s="22" t="s">
        <v>43</v>
      </c>
      <c r="E24" s="23">
        <v>1</v>
      </c>
      <c r="F24" s="23">
        <v>1</v>
      </c>
      <c r="G24" s="24">
        <f>25.21232*E24*F24</f>
        <v>25.21232</v>
      </c>
      <c r="H24" s="24">
        <f t="shared" si="4"/>
        <v>0</v>
      </c>
      <c r="I24" s="24">
        <f t="shared" si="0"/>
        <v>0</v>
      </c>
      <c r="J24" s="24">
        <f>24.00212864*E24*F24</f>
        <v>24.00212864</v>
      </c>
      <c r="K24" s="24">
        <f>5.1675171072*E24*F24</f>
        <v>5.1675171072</v>
      </c>
      <c r="L24" s="24">
        <f>5.042464*E24*F24</f>
        <v>5.042464</v>
      </c>
      <c r="M24" s="92">
        <f t="shared" si="1"/>
        <v>59.4244297472</v>
      </c>
      <c r="N24" s="72">
        <f t="shared" si="2"/>
        <v>4.952035812266667</v>
      </c>
      <c r="O24" s="56">
        <f t="shared" si="3"/>
        <v>0.004952035812266667</v>
      </c>
      <c r="P24" s="73" t="s">
        <v>205</v>
      </c>
    </row>
    <row r="25" spans="2:16" ht="30" customHeight="1">
      <c r="B25" s="91">
        <v>23</v>
      </c>
      <c r="C25" s="59" t="s">
        <v>203</v>
      </c>
      <c r="D25" s="22" t="s">
        <v>43</v>
      </c>
      <c r="E25" s="23">
        <v>1</v>
      </c>
      <c r="F25" s="23">
        <v>12</v>
      </c>
      <c r="G25" s="24">
        <f>19.45496*E25*F25</f>
        <v>233.45952</v>
      </c>
      <c r="H25" s="24">
        <f t="shared" si="4"/>
        <v>0</v>
      </c>
      <c r="I25" s="24">
        <f t="shared" si="0"/>
        <v>0</v>
      </c>
      <c r="J25" s="24">
        <f>18.52112192*E25*F25</f>
        <v>222.25346303999999</v>
      </c>
      <c r="K25" s="24">
        <f>3.9874886016*E25*F25</f>
        <v>47.8498632192</v>
      </c>
      <c r="L25" s="24">
        <f>3.890992*E25*F25</f>
        <v>46.691903999999994</v>
      </c>
      <c r="M25" s="92">
        <f t="shared" si="1"/>
        <v>550.2547502592</v>
      </c>
      <c r="N25" s="72">
        <f t="shared" si="2"/>
        <v>45.8545625216</v>
      </c>
      <c r="O25" s="56">
        <f t="shared" si="3"/>
        <v>0.0458545625216</v>
      </c>
      <c r="P25" s="73" t="s">
        <v>208</v>
      </c>
    </row>
    <row r="26" spans="2:16" ht="24" customHeight="1">
      <c r="B26" s="89">
        <v>24</v>
      </c>
      <c r="C26" s="59" t="s">
        <v>209</v>
      </c>
      <c r="D26" s="22" t="s">
        <v>43</v>
      </c>
      <c r="E26" s="23">
        <v>2</v>
      </c>
      <c r="F26" s="23">
        <v>12</v>
      </c>
      <c r="G26" s="24">
        <f>233.45952*E26*F26</f>
        <v>5603.02848</v>
      </c>
      <c r="H26" s="24">
        <f t="shared" si="4"/>
        <v>0</v>
      </c>
      <c r="I26" s="24">
        <f t="shared" si="0"/>
        <v>0</v>
      </c>
      <c r="J26" s="24">
        <f>222.25346304*E26*F26</f>
        <v>5334.08311296</v>
      </c>
      <c r="K26" s="24">
        <f>47.8498632192*E26*F26</f>
        <v>1148.3967172608</v>
      </c>
      <c r="L26" s="24">
        <f>46.691904*E26*F26</f>
        <v>1120.605696</v>
      </c>
      <c r="M26" s="92">
        <f t="shared" si="1"/>
        <v>13206.114006220801</v>
      </c>
      <c r="N26" s="72">
        <f t="shared" si="2"/>
        <v>1100.5095005184</v>
      </c>
      <c r="O26" s="56">
        <f t="shared" si="3"/>
        <v>1.1005095005184</v>
      </c>
      <c r="P26" s="73" t="s">
        <v>208</v>
      </c>
    </row>
    <row r="27" spans="2:16" ht="51.75" customHeight="1" thickBot="1">
      <c r="B27" s="91">
        <v>25</v>
      </c>
      <c r="C27" s="94" t="s">
        <v>46</v>
      </c>
      <c r="D27" s="95" t="s">
        <v>279</v>
      </c>
      <c r="E27" s="96">
        <v>1</v>
      </c>
      <c r="F27" s="96">
        <v>5</v>
      </c>
      <c r="G27" s="97">
        <f>1011.338272*E27*F27</f>
        <v>5056.69136</v>
      </c>
      <c r="H27" s="97">
        <f t="shared" si="4"/>
        <v>0</v>
      </c>
      <c r="I27" s="97">
        <f t="shared" si="0"/>
        <v>0</v>
      </c>
      <c r="J27" s="97">
        <f>962.794034944*E27*F27</f>
        <v>4813.97017472</v>
      </c>
      <c r="K27" s="97">
        <f>207.28389222912*E27*F27</f>
        <v>1036.4194611456</v>
      </c>
      <c r="L27" s="97">
        <f>202.2676544*E27*F27</f>
        <v>1011.338272</v>
      </c>
      <c r="M27" s="98">
        <f t="shared" si="1"/>
        <v>11918.4192678656</v>
      </c>
      <c r="N27" s="74">
        <f t="shared" si="2"/>
        <v>993.2016056554667</v>
      </c>
      <c r="O27" s="75">
        <f t="shared" si="3"/>
        <v>0.9932016056554667</v>
      </c>
      <c r="P27" s="149" t="s">
        <v>281</v>
      </c>
    </row>
    <row r="28" spans="2:16" ht="13.5" thickBot="1">
      <c r="B28" s="168" t="s">
        <v>48</v>
      </c>
      <c r="C28" s="169"/>
      <c r="D28" s="169"/>
      <c r="E28" s="169"/>
      <c r="F28" s="170"/>
      <c r="G28" s="79">
        <f aca="true" t="shared" si="5" ref="G28:N28">SUM(G6:G27)</f>
        <v>29940.835940913123</v>
      </c>
      <c r="H28" s="80">
        <f t="shared" si="5"/>
        <v>943.924044539</v>
      </c>
      <c r="I28" s="80">
        <f t="shared" si="5"/>
        <v>0</v>
      </c>
      <c r="J28" s="80">
        <f t="shared" si="5"/>
        <v>28503.675815749295</v>
      </c>
      <c r="K28" s="80">
        <f t="shared" si="5"/>
        <v>6235.785759126151</v>
      </c>
      <c r="L28" s="81">
        <f t="shared" si="5"/>
        <v>5988.167188182625</v>
      </c>
      <c r="M28" s="82">
        <f t="shared" si="5"/>
        <v>71612.38874851022</v>
      </c>
      <c r="N28" s="67">
        <f t="shared" si="5"/>
        <v>5967.699062375851</v>
      </c>
      <c r="O28" s="67">
        <f>SUM(O6:O27)</f>
        <v>4.713544652829508</v>
      </c>
      <c r="P28" s="68"/>
    </row>
    <row r="29" spans="2:16" ht="15.75" customHeight="1" thickBot="1">
      <c r="B29" s="165" t="s">
        <v>175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7"/>
    </row>
    <row r="30" spans="2:16" s="45" customFormat="1" ht="13.5" thickBot="1">
      <c r="B30" s="137"/>
      <c r="C30" s="41" t="s">
        <v>280</v>
      </c>
      <c r="D30" s="46"/>
      <c r="E30" s="46"/>
      <c r="F30" s="55">
        <v>12</v>
      </c>
      <c r="G30" s="47"/>
      <c r="H30" s="47"/>
      <c r="I30" s="47"/>
      <c r="J30" s="47"/>
      <c r="K30" s="47"/>
      <c r="L30" s="47"/>
      <c r="M30" s="146">
        <f>N30*12</f>
        <v>3600</v>
      </c>
      <c r="N30" s="147">
        <f>O30*1000</f>
        <v>300</v>
      </c>
      <c r="O30" s="58">
        <v>0.3</v>
      </c>
      <c r="P30" s="73" t="s">
        <v>226</v>
      </c>
    </row>
    <row r="31" spans="2:16" s="45" customFormat="1" ht="13.5" customHeight="1" thickBot="1">
      <c r="B31" s="173" t="s">
        <v>48</v>
      </c>
      <c r="C31" s="174"/>
      <c r="D31" s="110"/>
      <c r="E31" s="110"/>
      <c r="F31" s="110"/>
      <c r="G31" s="111" t="e">
        <f>SUM(#REF!)</f>
        <v>#REF!</v>
      </c>
      <c r="H31" s="112" t="e">
        <f>SUM(#REF!)</f>
        <v>#REF!</v>
      </c>
      <c r="I31" s="112" t="e">
        <f>SUM(#REF!)</f>
        <v>#REF!</v>
      </c>
      <c r="J31" s="112" t="e">
        <f>SUM(#REF!)</f>
        <v>#REF!</v>
      </c>
      <c r="K31" s="112" t="e">
        <f>SUM(#REF!)</f>
        <v>#REF!</v>
      </c>
      <c r="L31" s="113" t="e">
        <f>SUM(#REF!)</f>
        <v>#REF!</v>
      </c>
      <c r="M31" s="114">
        <f>SUM(M30:M30)</f>
        <v>3600</v>
      </c>
      <c r="N31" s="67">
        <f>SUM(N30:N30)</f>
        <v>300</v>
      </c>
      <c r="O31" s="67">
        <f>SUM(O30:O30)</f>
        <v>0.3</v>
      </c>
      <c r="P31" s="68"/>
    </row>
    <row r="32" spans="2:16" ht="16.5" customHeight="1" thickBot="1" thickTop="1">
      <c r="B32" s="175" t="s">
        <v>94</v>
      </c>
      <c r="C32" s="176"/>
      <c r="D32" s="108"/>
      <c r="E32" s="108"/>
      <c r="F32" s="109"/>
      <c r="G32" s="26" t="e">
        <f>G28+#REF!+G31</f>
        <v>#REF!</v>
      </c>
      <c r="H32" s="26" t="e">
        <f>H28+#REF!+H31</f>
        <v>#REF!</v>
      </c>
      <c r="I32" s="26" t="e">
        <f>I28+#REF!+I31</f>
        <v>#REF!</v>
      </c>
      <c r="J32" s="26" t="e">
        <f>J28+#REF!+J31</f>
        <v>#REF!</v>
      </c>
      <c r="K32" s="26" t="e">
        <f>K28+#REF!+K31</f>
        <v>#REF!</v>
      </c>
      <c r="L32" s="26" t="e">
        <f>L28+#REF!+L31</f>
        <v>#REF!</v>
      </c>
      <c r="M32" s="107">
        <f>M31+M28</f>
        <v>75212.38874851022</v>
      </c>
      <c r="N32" s="107">
        <f>N31+N28</f>
        <v>6267.699062375851</v>
      </c>
      <c r="O32" s="107">
        <f>O31+O28</f>
        <v>5.013544652829508</v>
      </c>
      <c r="P32" s="68"/>
    </row>
    <row r="33" spans="2:15" ht="13.5" thickTop="1">
      <c r="B33" s="49"/>
      <c r="C33" s="50"/>
      <c r="D33" s="50"/>
      <c r="E33" s="50"/>
      <c r="F33" s="50"/>
      <c r="G33" s="51"/>
      <c r="H33" s="51"/>
      <c r="I33" s="51"/>
      <c r="J33" s="51"/>
      <c r="K33" s="51"/>
      <c r="L33" s="51"/>
      <c r="M33" s="52"/>
      <c r="N33" s="54"/>
      <c r="O33" s="53"/>
    </row>
    <row r="34" spans="3:13" ht="0.75" customHeight="1">
      <c r="C34" s="185" t="s">
        <v>95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</row>
    <row r="35" spans="3:13" ht="24" customHeight="1" hidden="1">
      <c r="C35" s="186" t="s">
        <v>96</v>
      </c>
      <c r="D35" s="186"/>
      <c r="E35" s="187" t="e">
        <f>G32</f>
        <v>#REF!</v>
      </c>
      <c r="F35" s="187"/>
      <c r="G35" s="186" t="s">
        <v>97</v>
      </c>
      <c r="H35" s="186"/>
      <c r="I35" s="186"/>
      <c r="J35" s="187" t="e">
        <f>J32</f>
        <v>#REF!</v>
      </c>
      <c r="K35" s="187"/>
      <c r="M35" s="37"/>
    </row>
    <row r="36" spans="3:15" ht="24.75" customHeight="1" hidden="1">
      <c r="C36" s="186" t="s">
        <v>98</v>
      </c>
      <c r="D36" s="186"/>
      <c r="E36" s="187" t="e">
        <f>H32</f>
        <v>#REF!</v>
      </c>
      <c r="F36" s="187"/>
      <c r="G36" s="186" t="s">
        <v>99</v>
      </c>
      <c r="H36" s="186"/>
      <c r="I36" s="186"/>
      <c r="J36" s="187" t="e">
        <f>K32</f>
        <v>#REF!</v>
      </c>
      <c r="K36" s="187"/>
      <c r="M36" s="37"/>
      <c r="O36" s="37"/>
    </row>
    <row r="37" spans="3:11" ht="25.5" customHeight="1" hidden="1">
      <c r="C37" s="186" t="s">
        <v>100</v>
      </c>
      <c r="D37" s="186"/>
      <c r="E37" s="187" t="e">
        <f>I32</f>
        <v>#REF!</v>
      </c>
      <c r="F37" s="187"/>
      <c r="G37" s="186" t="s">
        <v>101</v>
      </c>
      <c r="H37" s="186"/>
      <c r="I37" s="186"/>
      <c r="J37" s="187" t="e">
        <f>L32</f>
        <v>#REF!</v>
      </c>
      <c r="K37" s="187"/>
    </row>
    <row r="38" spans="3:13" ht="19.5" customHeight="1" hidden="1">
      <c r="C38" s="4"/>
      <c r="E38" s="5"/>
      <c r="G38" s="186" t="s">
        <v>102</v>
      </c>
      <c r="H38" s="186"/>
      <c r="I38" s="186"/>
      <c r="J38" s="187">
        <f>M32</f>
        <v>75212.38874851022</v>
      </c>
      <c r="K38" s="187"/>
      <c r="M38" s="37">
        <f>N32-N31</f>
        <v>5967.699062375851</v>
      </c>
    </row>
    <row r="39" ht="15" customHeight="1" hidden="1"/>
    <row r="40" ht="12" hidden="1">
      <c r="N40">
        <f>12000/9098</f>
        <v>1.3189712024620797</v>
      </c>
    </row>
    <row r="41" ht="12" hidden="1"/>
    <row r="42" spans="4:6" ht="12" hidden="1">
      <c r="D42">
        <f>1.1*30*2</f>
        <v>66</v>
      </c>
      <c r="E42">
        <f>8*3500</f>
        <v>28000</v>
      </c>
      <c r="F42" t="e">
        <f>#REF!+#REF!</f>
        <v>#REF!</v>
      </c>
    </row>
    <row r="43" spans="4:6" ht="12" hidden="1">
      <c r="D43">
        <f>D42*288.99</f>
        <v>19073.34</v>
      </c>
      <c r="F43" t="e">
        <f>F42+#REF!</f>
        <v>#REF!</v>
      </c>
    </row>
    <row r="44" spans="4:5" ht="12" hidden="1">
      <c r="D44">
        <f>D43*0.18</f>
        <v>3433.2012</v>
      </c>
      <c r="E44">
        <f>3500/9098</f>
        <v>0.3846999340514399</v>
      </c>
    </row>
    <row r="45" ht="12" hidden="1">
      <c r="D45">
        <f>D43+D44</f>
        <v>22506.5412</v>
      </c>
    </row>
    <row r="46" spans="4:6" ht="12" hidden="1">
      <c r="D46">
        <f>D45/9098</f>
        <v>2.4737899758188613</v>
      </c>
      <c r="F46">
        <f>60*198</f>
        <v>11880</v>
      </c>
    </row>
    <row r="47" ht="12" hidden="1">
      <c r="F47">
        <f>F46/9098</f>
        <v>1.3057814904374587</v>
      </c>
    </row>
    <row r="48" ht="12" hidden="1">
      <c r="F48">
        <f>1.3*9098</f>
        <v>11827.4</v>
      </c>
    </row>
    <row r="49" ht="12" hidden="1"/>
    <row r="50" ht="12" hidden="1"/>
    <row r="51" spans="5:6" ht="12" hidden="1">
      <c r="E51">
        <f>1*9098</f>
        <v>9098</v>
      </c>
      <c r="F51">
        <v>0.65</v>
      </c>
    </row>
    <row r="52" spans="3:10" ht="12" hidden="1">
      <c r="C52" s="189" t="s">
        <v>192</v>
      </c>
      <c r="D52" s="189"/>
      <c r="E52" s="189"/>
      <c r="F52" s="189"/>
      <c r="G52" s="189"/>
      <c r="H52" s="189"/>
      <c r="I52" s="189"/>
      <c r="J52" s="189"/>
    </row>
    <row r="53" spans="3:10" ht="15" customHeight="1" hidden="1">
      <c r="C53" s="188" t="s">
        <v>96</v>
      </c>
      <c r="D53" s="188"/>
      <c r="E53" s="36" t="e">
        <f>E35/12</f>
        <v>#REF!</v>
      </c>
      <c r="F53" s="36"/>
      <c r="G53" s="188" t="s">
        <v>97</v>
      </c>
      <c r="H53" s="188"/>
      <c r="I53" s="188"/>
      <c r="J53" s="36" t="e">
        <f>J35/12</f>
        <v>#REF!</v>
      </c>
    </row>
    <row r="54" spans="3:10" ht="15" customHeight="1" hidden="1">
      <c r="C54" s="188" t="s">
        <v>98</v>
      </c>
      <c r="D54" s="188"/>
      <c r="E54" s="36" t="e">
        <f>E36/12</f>
        <v>#REF!</v>
      </c>
      <c r="F54" s="36"/>
      <c r="G54" s="188" t="s">
        <v>99</v>
      </c>
      <c r="H54" s="188"/>
      <c r="I54" s="188"/>
      <c r="J54" s="36" t="e">
        <f>J36/12</f>
        <v>#REF!</v>
      </c>
    </row>
    <row r="55" spans="3:10" ht="15" customHeight="1" hidden="1">
      <c r="C55" s="188" t="s">
        <v>100</v>
      </c>
      <c r="D55" s="188"/>
      <c r="E55" s="36" t="e">
        <f>E37/12</f>
        <v>#REF!</v>
      </c>
      <c r="F55" s="36"/>
      <c r="G55" s="188" t="s">
        <v>101</v>
      </c>
      <c r="H55" s="188"/>
      <c r="I55" s="188"/>
      <c r="J55" s="36" t="e">
        <f>J37/12</f>
        <v>#REF!</v>
      </c>
    </row>
    <row r="56" spans="3:11" ht="15">
      <c r="C56" s="36"/>
      <c r="D56" s="36"/>
      <c r="E56" s="36"/>
      <c r="F56" s="36"/>
      <c r="G56" s="188" t="s">
        <v>102</v>
      </c>
      <c r="H56" s="188"/>
      <c r="I56" s="188"/>
      <c r="J56" s="36">
        <f>J38/12</f>
        <v>6267.699062375851</v>
      </c>
      <c r="K56" s="40"/>
    </row>
    <row r="59" ht="12">
      <c r="H59">
        <f>15000+45000+20000+18000+40000</f>
        <v>138000</v>
      </c>
    </row>
    <row r="60" ht="12">
      <c r="H60">
        <f>H59*30.2%</f>
        <v>41676</v>
      </c>
    </row>
    <row r="61" spans="8:9" ht="12">
      <c r="H61">
        <f>H59+H60</f>
        <v>179676</v>
      </c>
      <c r="I61" s="37"/>
    </row>
  </sheetData>
  <sheetProtection formatCells="0" formatColumns="0" formatRows="0" insertColumns="0" insertRows="0" insertHyperlinks="0" deleteColumns="0" deleteRows="0" sort="0" autoFilter="0" pivotTables="0"/>
  <mergeCells count="31">
    <mergeCell ref="B29:P29"/>
    <mergeCell ref="B31:C31"/>
    <mergeCell ref="B32:C32"/>
    <mergeCell ref="B1:P1"/>
    <mergeCell ref="B2:P2"/>
    <mergeCell ref="B3:P3"/>
    <mergeCell ref="B5:P5"/>
    <mergeCell ref="B28:F28"/>
    <mergeCell ref="C34:M34"/>
    <mergeCell ref="C35:D35"/>
    <mergeCell ref="E35:F35"/>
    <mergeCell ref="G35:I35"/>
    <mergeCell ref="J35:K35"/>
    <mergeCell ref="C36:D36"/>
    <mergeCell ref="E36:F36"/>
    <mergeCell ref="G36:I36"/>
    <mergeCell ref="J36:K36"/>
    <mergeCell ref="C37:D37"/>
    <mergeCell ref="E37:F37"/>
    <mergeCell ref="G37:I37"/>
    <mergeCell ref="J37:K37"/>
    <mergeCell ref="G38:I38"/>
    <mergeCell ref="J38:K38"/>
    <mergeCell ref="G56:I56"/>
    <mergeCell ref="C52:J52"/>
    <mergeCell ref="C53:D53"/>
    <mergeCell ref="G53:I53"/>
    <mergeCell ref="C54:D54"/>
    <mergeCell ref="G54:I54"/>
    <mergeCell ref="C55:D55"/>
    <mergeCell ref="G55:I55"/>
  </mergeCells>
  <printOptions/>
  <pageMargins left="0.35" right="0.35" top="0.35" bottom="0.161875" header="0.3" footer="0.3"/>
  <pageSetup fitToHeight="0" fitToWidth="1" horizontalDpi="600" verticalDpi="600" orientation="landscape" paperSize="9" scale="75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User</cp:lastModifiedBy>
  <cp:lastPrinted>2016-05-11T12:14:19Z</cp:lastPrinted>
  <dcterms:created xsi:type="dcterms:W3CDTF">2016-04-04T02:02:00Z</dcterms:created>
  <dcterms:modified xsi:type="dcterms:W3CDTF">2017-02-02T09:30:32Z</dcterms:modified>
  <cp:category>Test result file</cp:category>
  <cp:version/>
  <cp:contentType/>
  <cp:contentStatus/>
</cp:coreProperties>
</file>